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 firstSheet="1" activeTab="1"/>
  </bookViews>
  <sheets>
    <sheet name="报价清单" sheetId="110" state="hidden" r:id="rId1"/>
    <sheet name="材料" sheetId="116" r:id="rId2"/>
    <sheet name="明细" sheetId="117" state="hidden" r:id="rId3"/>
  </sheets>
  <definedNames>
    <definedName name="_xlnm._FilterDatabase" localSheetId="0" hidden="1">报价清单!$A$1:$H$156</definedName>
    <definedName name="_xlnm.Print_Titles" localSheetId="0">报价清单!$1:$5</definedName>
    <definedName name="_xlnm.Print_Area" localSheetId="0">报价清单!$A$1:$I$155</definedName>
    <definedName name="_xlnm.Print_Area" localSheetId="1">材料!$A$1:$H$11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<sst xmlns="http://schemas.openxmlformats.org/spreadsheetml/2006/main" count="1412" uniqueCount="791">
  <si>
    <t>报价清单</t>
  </si>
  <si>
    <t>工程名称：金湾区航空新城并宏大厦市政配套工程</t>
  </si>
  <si>
    <t>序号</t>
  </si>
  <si>
    <t>企业指导价</t>
  </si>
  <si>
    <t>项目名称</t>
  </si>
  <si>
    <t>项目特征描述</t>
  </si>
  <si>
    <t>计量
单位</t>
  </si>
  <si>
    <t>工程量</t>
  </si>
  <si>
    <t>除税单价</t>
  </si>
  <si>
    <t>除税合价</t>
  </si>
  <si>
    <t>工作内容</t>
  </si>
  <si>
    <t>一</t>
  </si>
  <si>
    <t>金湾区航空新城并宏大厦市政配套工程-道路工程</t>
  </si>
  <si>
    <t/>
  </si>
  <si>
    <t>路基</t>
  </si>
  <si>
    <t>清表</t>
  </si>
  <si>
    <t>1、名称：清表
2、厚度:30cm 
3、综合考虑按设计图纸及规范要求、完成这项工程的一切费用</t>
  </si>
  <si>
    <t>m2</t>
  </si>
  <si>
    <t>路基开挖</t>
  </si>
  <si>
    <t>1、名称：路基开挖
2、综合考虑按设计图纸及规范要求、完成这项工程的一切费用</t>
  </si>
  <si>
    <t>m3</t>
  </si>
  <si>
    <t>路基回填土</t>
  </si>
  <si>
    <t>1、名称：路基回填土
2、综合考虑按设计图纸及规范要求、完成这项工程的一切费用</t>
  </si>
  <si>
    <t>新建机动车道</t>
  </si>
  <si>
    <t>SBS改性沥青混合料</t>
  </si>
  <si>
    <t>1、名称：SBS改性沥青混合料
2、类型:细粒式
3、种类:AC-13C
4、厚度：4cm
5、其他：添加0.3%（重量比）纤维稳定剂
6、综合考虑按设计图纸及规范要求、完成这项工程的一切费用</t>
  </si>
  <si>
    <t>喷洒粘层改性乳化沥青（PCR）</t>
  </si>
  <si>
    <t>1、类型：喷洒粘层改性乳化沥青（PCR）
2、综合考虑按设计图纸及规范要求、完成这项工程的一切费用</t>
  </si>
  <si>
    <t>密集配沥青混合料</t>
  </si>
  <si>
    <t>1、名称：密集配沥青混合料
2、类型:中粒式
3、种类:AC-20C
4、厚度：6cm
5、综合考虑按设计图纸及规范要求、完成这项工程的一切费用</t>
  </si>
  <si>
    <t>沥青表处式下封层 PC-1</t>
  </si>
  <si>
    <t>1、类型：沥青表处式下封层 PC-1
2、综合考虑按设计图纸及规范要求、完成这项工程的一切费用</t>
  </si>
  <si>
    <t>喷洒透层热沥青 PC-2</t>
  </si>
  <si>
    <t>1、类型：喷洒透层热沥青 PC-2
2、综合考虑按设计图纸及规范要求、完成这项工程的一切费用</t>
  </si>
  <si>
    <t>JTLW020101008</t>
  </si>
  <si>
    <t>3.5MPa水泥稳定碎石</t>
  </si>
  <si>
    <t>1、类型：3.5MPa水泥稳定碎石
2、厚度：30cm 
3、综合考虑按设计图纸及规范要求、完成这项工程的一切费用</t>
  </si>
  <si>
    <t>人工配合机械摊铺、整型、碾压、初期养护</t>
  </si>
  <si>
    <t>JTLW020101007</t>
  </si>
  <si>
    <t>2.5MPa水泥稳定碎石</t>
  </si>
  <si>
    <t>1、类型：2.5MPa水泥稳定碎石
2、厚度：16cm 
3、综合考虑按设计图纸及规范要求、完成这项工程的一切费用</t>
  </si>
  <si>
    <t>路面排水</t>
  </si>
  <si>
    <t>SZLW020502002</t>
  </si>
  <si>
    <t>C40混凝土偏沟</t>
  </si>
  <si>
    <t>1、类型：C40混凝土偏沟
2、综合考虑按设计图纸及规范要求、完成这项工程的一切费用</t>
  </si>
  <si>
    <t>配合放线、测量、支模、浇注、成型、养生、成品保护、工作面清理等全过程。</t>
  </si>
  <si>
    <t>SZLW020203004</t>
  </si>
  <si>
    <t>PVC带孔透水管</t>
  </si>
  <si>
    <t>1、类型：PVC带孔透水管
2、规格：DN80
3、综合考虑按设计图纸及规范要求、完成这项工程的一切费用</t>
  </si>
  <si>
    <t>m</t>
  </si>
  <si>
    <t>管口处理、对口、上件、连接、管件安装水压试验及水冲洗等全过程</t>
  </si>
  <si>
    <t>SZLW020102005</t>
  </si>
  <si>
    <t>铺防渗土工布</t>
  </si>
  <si>
    <t>1、铺防渗土工布
2、涂沥青粘层
3、综合考虑按设计图纸及规范要求、完成这项工程的一切费用</t>
  </si>
  <si>
    <t>1、清理整平路基、挖填锚固沟、铺装土工格栅或铺设土工布、缝合及锚固土工布。
2、清扫路面、运油、洒布机喷油、移动挡板(或遮盖物)保护侧缘石</t>
  </si>
  <si>
    <t>JTLW020101003</t>
  </si>
  <si>
    <t>级配碎石</t>
  </si>
  <si>
    <t>1、名称：级配碎石
2、综合考虑按设计图纸及规范要求、完成这项工程的一切费用</t>
  </si>
  <si>
    <t>人行道</t>
  </si>
  <si>
    <t>JTLW020101006</t>
  </si>
  <si>
    <t>中粗砂垫层</t>
  </si>
  <si>
    <t>1、类型：中粗砂垫层
2、厚度：2cm
3、综合考虑按设计图纸及规范要求、完成这项工程的一切费用</t>
  </si>
  <si>
    <t>人工配合机械清底、找平、夯实、铺筑、抹平，材料场内运输</t>
  </si>
  <si>
    <t>原色透水混凝土基层</t>
  </si>
  <si>
    <t>1、名称：透水混凝土基层
2、规格：C30
3、厚度：15cm
4、综合考虑按设计图纸及规范要求、完成这项工程的一切费用</t>
  </si>
  <si>
    <t>级配碎石垫层</t>
  </si>
  <si>
    <t>1、名称：级配碎石垫层
2、厚度：10cm
3、综合考虑按设计图纸及规范要求、完成这项工程的一切费用</t>
  </si>
  <si>
    <t>SZLW020102003</t>
  </si>
  <si>
    <t>人行道胀缝</t>
  </si>
  <si>
    <t>1、名称：人行道胀缝
2、材料种类：钢筋φ16
3、综合考虑按设计图纸及规范要求、完成这项工程的一切费用</t>
  </si>
  <si>
    <t>道</t>
  </si>
  <si>
    <t>1、开料裁管，填充木屑，安装定位
、安装加固钢筋</t>
  </si>
  <si>
    <t>SZLW020103001</t>
  </si>
  <si>
    <t>花岗岩侧石</t>
  </si>
  <si>
    <t>1、规格：100*45*15
2、M10水泥砂浆
3、厚度：3cm
4、C15混凝土后座
5、综合考虑按设计图纸及规范要求、完成这项工程的一切费用</t>
  </si>
  <si>
    <t>测量放样、缘石侧边切割剔除、基槽开挖与回填、夯实、底座浇筑、水泥砂浆垫层铺设、场内运输、路缘石稳固、勾缝、靠背浇筑场地清理等全过程</t>
  </si>
  <si>
    <t>花岗岩平石</t>
  </si>
  <si>
    <t>1、规格：100*15*10
2、M10水泥砂浆
3、厚度：3cm
4、C15混凝土后座
5、综合考虑按设计图纸及规范要求、完成这项工程的一切费用</t>
  </si>
  <si>
    <t>花岗岩防撞柱</t>
  </si>
  <si>
    <t>1、名称：防撞柱
2、综合考虑按设计图纸及规范要求、完成这项工程的一切费用</t>
  </si>
  <si>
    <t>个</t>
  </si>
  <si>
    <t>定位放样，挖土，材料场内运输、安装定位，回填，水泥砂浆固定</t>
  </si>
  <si>
    <t>围挡</t>
  </si>
  <si>
    <t>JTLW012001002</t>
  </si>
  <si>
    <t>A1型镀锌穿孔钢板围挡</t>
  </si>
  <si>
    <t>1、名称:A1型镀锌穿孔钢板围挡
2、高度:2.5m
4、工期:1年以内
5、面板:2mm热镀锌钢板机械冲孔，孔径10mm
6、立柱:100*100*5mm低碳钢方通立柱及斜撑，间距2.62m
7、防腐:立柱及斜撑除锈Sa2.0、涂刷环氧富锌底漆60μm，氯化橡胶白色面漆60μm，总厚度不低于120μm；面板镀锌面喷白色油漆
8、其他要求:详见图纸规范及招标文件</t>
  </si>
  <si>
    <t>1、围挡安装，含立柱、斜撑等
2、基础开挖、测量放线等
3、支模、浇筑混凝土、养护
4、含发电机等</t>
  </si>
  <si>
    <t>拆除</t>
  </si>
  <si>
    <t>拆除水泥路面</t>
  </si>
  <si>
    <t>1、名称：拆除水泥路面
2、综合考虑按设计图纸及规范要求、完成这项工程的一切费用</t>
  </si>
  <si>
    <t>二</t>
  </si>
  <si>
    <t>金湾区航空新城并宏大厦市政配套工程-交通工程</t>
  </si>
  <si>
    <t>1</t>
  </si>
  <si>
    <t>高亮干湿态反光标线</t>
  </si>
  <si>
    <t>1、名称:高亮干湿态反光标线
2、综合考虑按图纸和规范要求而实施、完成这项工程的一切有关费用</t>
  </si>
  <si>
    <t>2</t>
  </si>
  <si>
    <t>标志牌</t>
  </si>
  <si>
    <t>1、种类：禁止停车（禁31）
2、规格:圆形φ80
3、材料种类:3mm厚铝合金板，V类反光膜(反光等级&gt;3M钻石级)
4、综合考虑按图纸和规范要求而实施、完成这项工程的一切有关费用</t>
  </si>
  <si>
    <t>块</t>
  </si>
  <si>
    <t>面板安装、固定等全过程</t>
  </si>
  <si>
    <t>3</t>
  </si>
  <si>
    <t>1、种类：限制速度（禁38）
2、规格:圆形φ80
3、材料种类:3mm厚铝合金板，V类反光膜(反光等级&gt;3M钻石级)
4、综合考虑按图纸和规范要求而实施、完成这项工程的一切有关费用</t>
  </si>
  <si>
    <t>4</t>
  </si>
  <si>
    <t>1、种类：减速让行标志
2、规格:三角形，边长90cm
3、材料种类:3mm厚铝合金板，V类反光膜(反光等级&gt;3M钻石级)
4、综合考虑按图纸和规范要求而实施、完成这项工程的一切有关费用</t>
  </si>
  <si>
    <t>5</t>
  </si>
  <si>
    <t>1、种类：向左急变路（警2-1）
2、规格:三角形，边长90cm
3、材料种类:3mm厚铝合金板，V类反光膜(反光等级&gt;3M钻石级)
4、综合考虑按图纸和规范要求而实施、完成这项工程的一切有关费用</t>
  </si>
  <si>
    <t>6</t>
  </si>
  <si>
    <t>警示桩</t>
  </si>
  <si>
    <t>1、名称:警示桩
2、材质：φ114钢管，贴3M高级反光膜
3、壁厚：不小于2.5mm
4、高度：1100mm
5、基础：C15混凝土基础
6、综合考虑按图纸和规范要求而实施、完成这项工程的一切有关费用</t>
  </si>
  <si>
    <t>挖土、安装固定、浇筑、捣固及养护</t>
  </si>
  <si>
    <t>7</t>
  </si>
  <si>
    <t>SZLW020801006</t>
  </si>
  <si>
    <t>标志杆</t>
  </si>
  <si>
    <t>1、名称：标志杆
2、高度：3m
3、垫层：C15混凝土垫层
4、基础：C25钢筋混凝土基础
5、尺寸:500×500×500
6、镀铜角钢接地：∠50*50*3 h=2500
7、综合考虑按图纸和规范要求而实施、完成这项工程的一切有关费用</t>
  </si>
  <si>
    <t>套</t>
  </si>
  <si>
    <t>1、混凝土浇筑、捣固、抹平、养生
2、钢筋解捆，除锈，调直，下料，弯曲，焊接，绑扎成型，运输入模
3、杆安装、调整垂直度
4、基础接地等</t>
  </si>
  <si>
    <t>8</t>
  </si>
  <si>
    <t>1、名称：标志杆
2、高度：4m
3、垫层：C15混凝土垫层
4、基础：C25钢筋混凝土基础
5、尺寸:700×500×500
6、镀铜角钢接地：∠50*50*3 h=2500
7、综合考虑按图纸和规范要求而实施、完成这项工程的一切有关费用</t>
  </si>
  <si>
    <t>9</t>
  </si>
  <si>
    <t>1、名称：标志牌
2、规格:1200×1500
3、材料种类:3mm厚铝合金板 IV类
4、综合考虑按图纸和规范要求而实施、完成这项工程的一切有关费用</t>
  </si>
  <si>
    <t>10</t>
  </si>
  <si>
    <t>1、名称：标志牌
2、规格:1200×600
3、材料种类:3mm厚铝合金板 IV类
4、综合考虑按图纸和规范要求而实施、完成这项工程的一切有关费用</t>
  </si>
  <si>
    <t>11</t>
  </si>
  <si>
    <t>标志架</t>
  </si>
  <si>
    <t>1、名称：标志架
2、材质:角铁
3、规格:30×30
4、综合考虑按图纸和规范要求而实施、完成这项工程的一切有关费用</t>
  </si>
  <si>
    <t>安装、固定等全过程</t>
  </si>
  <si>
    <t>12</t>
  </si>
  <si>
    <t>道路警示方型反光锥</t>
  </si>
  <si>
    <t>1、名称:道路警示方型反光锥 红色
2、综合考虑按图纸和规范要求而实施、完成这项工程的一切有关费用</t>
  </si>
  <si>
    <t>三</t>
  </si>
  <si>
    <t>金湾区航空新城并宏大厦市政配套工程-管线工程</t>
  </si>
  <si>
    <t>给排水</t>
  </si>
  <si>
    <t>给水</t>
  </si>
  <si>
    <t>SZLW020203005</t>
  </si>
  <si>
    <t>承插离心球墨铸铁给水管</t>
  </si>
  <si>
    <t>1、名称:承插离心球墨铸铁给水管
2、规格:DN150
3、其他：管道试压及消毒冲洗
4、综合考虑按图纸和规范要求而实施、完成这项工程的一切有关费用</t>
  </si>
  <si>
    <t>场内运输、切管、下管、打口、管道敷设、管道接口处理、管道压力试验、消毒冲洗等全过程</t>
  </si>
  <si>
    <t>1、名称:承插离心球墨铸铁给水管
2、规格:DN200
3、其他：管道试压及消毒冲洗
4、综合考虑按图纸和规范要求而实施、完成这项工程的一切有关费用</t>
  </si>
  <si>
    <t>1、名称:承插离心球墨铸铁给水管
2、规格:DN300
3、其他：管道试压及消毒冲洗
4、综合考虑按图纸和规范要求而实施、完成这项工程的一切有关费用</t>
  </si>
  <si>
    <t>垫层</t>
  </si>
  <si>
    <t>C30混凝土</t>
  </si>
  <si>
    <t>底板</t>
  </si>
  <si>
    <t>盖板(800*500*200)</t>
  </si>
  <si>
    <t>钢筋</t>
  </si>
  <si>
    <t>角钢L70*45*4</t>
  </si>
  <si>
    <t>细砂回填</t>
  </si>
  <si>
    <t>SZLW020801020</t>
  </si>
  <si>
    <t>排泥管</t>
  </si>
  <si>
    <t>1、材质:直缝焊接钢管
2、规格:φ108×6
3、综合考虑按图纸和规范要求而实施、完成这项工程的一切有关费用</t>
  </si>
  <si>
    <t>测位、锯管、套丝、弯管、配管、接地、补漆、穿引线。</t>
  </si>
  <si>
    <t>软密封法兰闸阀(不锈钢杆)</t>
  </si>
  <si>
    <t>1、名称:软密封法兰闸阀(不锈钢杆)
2、规格:DN200
3、公称压力:PN=1.0MPa
4、综合考虑按图纸和规范要求而实施、完成这项工程的一切有关费用</t>
  </si>
  <si>
    <t>1.安装
2.操纵装置安装
3.绝热
4.保温盒制作、安装、除锈、刷油
5.压力试验、解体检查及研磨
6.调试</t>
  </si>
  <si>
    <t>φ12</t>
  </si>
  <si>
    <t>JTLW020401003</t>
  </si>
  <si>
    <t>闸阀组合井</t>
  </si>
  <si>
    <t>1、名称:闸阀组合井（13S201-19\20）
2、规格:DN200
3、综合考虑按图纸和规范要求而实施、完成这项工程的一切有关费用</t>
  </si>
  <si>
    <t>座</t>
  </si>
  <si>
    <t>混凝土浇捣、养护、砌砖、勾缝、安装盖板及井盖</t>
  </si>
  <si>
    <t>φ8</t>
  </si>
  <si>
    <t>排泥阀井 DN300</t>
  </si>
  <si>
    <t>1、名称:排泥阀井（07MS101-2-58）
2、规格:φ1000
3、综合考虑按图纸和规范要求而实施、完成这项工程的一切有关费用</t>
  </si>
  <si>
    <t>φ10</t>
  </si>
  <si>
    <t>排泥阀</t>
  </si>
  <si>
    <t>1、名称:排泥阀
2、规格:DN100
3、综合考虑按图纸和规范要求而实施、完成这项工程的一切有关费用</t>
  </si>
  <si>
    <t>盖板</t>
  </si>
  <si>
    <t>φ16</t>
  </si>
  <si>
    <t>排泥湿井</t>
  </si>
  <si>
    <t>1、名称:排泥湿井（07MS101-2-59）
2、规格:φ1000
3、综合考虑按图纸和规范要求而实施、完成这项工程的一切有关费用</t>
  </si>
  <si>
    <t>球墨铸铁四通</t>
  </si>
  <si>
    <t>1、名称:球墨铸铁四通
2、规格:DN300×200
3、公称压力：PN=1.0MPa
4、综合考虑按图纸和规范要求而实施、完成这项工程的一切有关费用</t>
  </si>
  <si>
    <t>场内运输、管件安装、压力试验等全过程</t>
  </si>
  <si>
    <t>1、名称:球墨铸铁四通
2、规格:DN200×150
3、公称压力：PN=1.0MPa
4、综合考虑按图纸和规范要求而实施、完成这项工程的一切有关费用</t>
  </si>
  <si>
    <t>球墨铸铁三通</t>
  </si>
  <si>
    <t>1、名称:球墨铸铁三通
2、规格:DN300×150
3、公称压力：PN=1.0MPa
4、综合考虑按图纸和规范要求而实施、完成这项工程的一切有关费用</t>
  </si>
  <si>
    <t>13</t>
  </si>
  <si>
    <t>排泥三通</t>
  </si>
  <si>
    <t>1、名称:排泥三通
2、规格:DN300×100
3、公称压力：PN=1.0MPa
4、综合考虑按图纸和规范要求而实施、完成这项工程的一切有关费用</t>
  </si>
  <si>
    <t>14</t>
  </si>
  <si>
    <t>球墨铸铁90°弯头</t>
  </si>
  <si>
    <t>1、名称:球墨铸铁90°弯头
2、规格:DN300
3、公称压力：PN=1.0MPa
4、综合考虑按图纸和规范要求而实施、完成这项工程的一切有关费用</t>
  </si>
  <si>
    <t>15</t>
  </si>
  <si>
    <t>球墨铸铁30°弯头</t>
  </si>
  <si>
    <t>1、名称:球墨铸铁30°弯头
2、规格:DN300
3、公称压力：PN=1.0MPa
4、综合考虑按图纸和规范要求而实施、完成这项工程的一切有关费用</t>
  </si>
  <si>
    <t>16</t>
  </si>
  <si>
    <t>1、名称:球墨铸铁90°弯头
2、规格:DN150
3、公称压力：PN=1.0MPa
4、综合考虑按图纸和规范要求而实施、完成这项工程的一切有关费用</t>
  </si>
  <si>
    <t>17</t>
  </si>
  <si>
    <t>SZLW020503003</t>
  </si>
  <si>
    <t>水平三通支墩</t>
  </si>
  <si>
    <t>1、名称:水平三通支墩（10S505-57）
2、规格:DN300
3、综合考虑按图纸和规范要求而实施、完成这项工程的一切有关费用</t>
  </si>
  <si>
    <t>混凝土浇捣、养护</t>
  </si>
  <si>
    <t>18</t>
  </si>
  <si>
    <t>90°水平弯管支墩</t>
  </si>
  <si>
    <t>1、名称:90°水平弯管支墩（10S505-53）
2、规格:DN300
3、综合考虑按图纸和规范要求而实施、完成这项工程的一切有关费用</t>
  </si>
  <si>
    <t>19</t>
  </si>
  <si>
    <t>30°水平弯管支墩</t>
  </si>
  <si>
    <t>1、名称:30°水平弯管支墩（10S505-53）
2、规格:DN300
3、综合考虑按图纸和规范要求而实施、完成这项工程的一切有关费用</t>
  </si>
  <si>
    <t>20</t>
  </si>
  <si>
    <t>水平管堵支墩</t>
  </si>
  <si>
    <t>1、名称:水平管堵支墩（10S505-58）
2、规格:DN200
3、综合考虑按图纸和规范要求而实施、完成这项工程的一切有关费用</t>
  </si>
  <si>
    <t>21</t>
  </si>
  <si>
    <t>水平盲板支墩</t>
  </si>
  <si>
    <t>1、名称:水平盲板支墩（10S505-58）
2、规格:DN200
3、综合考虑按图纸和规范要求而实施、完成这项工程的一切有关费用</t>
  </si>
  <si>
    <t>22</t>
  </si>
  <si>
    <t>1、名称:90°水平弯管支墩（10S505-53）
2、规格:DN150
3、综合考虑按图纸和规范要求而实施、完成这项工程的一切有关费用</t>
  </si>
  <si>
    <t>23</t>
  </si>
  <si>
    <t>给水管堵头</t>
  </si>
  <si>
    <t>1、名称:给水管堵头
2、规格:DN200
3、综合考虑按图纸和规范要求而实施、完成这项工程的一切有关费用</t>
  </si>
  <si>
    <t>25</t>
  </si>
  <si>
    <t>给水管道标识牌</t>
  </si>
  <si>
    <t>1、名称：给水管道标识牌
2、综合考虑按图纸和规范要求而实施、完成这项工程的一切有关费用</t>
  </si>
  <si>
    <t>定位、钻孔、安装</t>
  </si>
  <si>
    <t>26</t>
  </si>
  <si>
    <t>给水管碰口（停水碰口）</t>
  </si>
  <si>
    <t>1、名称:给水管碰口
2、规格:DN300碰DN300
3、综合考虑按图纸和规范要求而实施、完成这项工程的一切有关费用</t>
  </si>
  <si>
    <t>处</t>
  </si>
  <si>
    <t>场内运输、尺寸校正、开关水制、断管、接驳、临时加固、通水试验</t>
  </si>
  <si>
    <t>27</t>
  </si>
  <si>
    <t>1、名称:给水管堵头
2、规格:DN100
3、综合考虑按图纸和规范要求而实施、完成这项工程的一切有关费用</t>
  </si>
  <si>
    <t>28</t>
  </si>
  <si>
    <t>钢制变径</t>
  </si>
  <si>
    <t>1、名称:钢制变径
2、规格:DN150×100
3、综合考虑按图纸和规范要求而实施、完成这项工程的一切有关费用</t>
  </si>
  <si>
    <t>定位、坡口、组对焊接</t>
  </si>
  <si>
    <t>33</t>
  </si>
  <si>
    <t>开挖沟槽土方</t>
  </si>
  <si>
    <t>1、名称:开挖沟槽土方
2、综合考虑按图纸和规范要求而实施、完成这项工程的一切有关费用</t>
  </si>
  <si>
    <t>34</t>
  </si>
  <si>
    <t>石屑垫层</t>
  </si>
  <si>
    <t>1、名称:石屑垫层
2、厚度：200mm
3、综合考虑按图纸和规范要求而实施、完成这项工程的一切有关费用</t>
  </si>
  <si>
    <t>35</t>
  </si>
  <si>
    <t>回填石屑</t>
  </si>
  <si>
    <t>1、名称:回填石屑
2、综合考虑按图纸和规范要求而实施、完成这项工程的一切有关费用</t>
  </si>
  <si>
    <t>36</t>
  </si>
  <si>
    <t>回填土</t>
  </si>
  <si>
    <t>1、名称:回填土（利用方）
2、综合考虑按图纸和规范要求而实施、完成这项工程的一切有关费用</t>
  </si>
  <si>
    <t>雨水</t>
  </si>
  <si>
    <t>29</t>
  </si>
  <si>
    <t>SZLW020202004</t>
  </si>
  <si>
    <t>II级钢筋混凝土管</t>
  </si>
  <si>
    <t>1、名称:II级钢筋混凝土管
2、规格:D600
3、其他：闭水试验
4、综合考虑按图纸和规范要求而实施、完成这项工程的一切有关费用</t>
  </si>
  <si>
    <t>材料场内运输、下管、内排运管、安装胶圈、对口、接缝处理、固定、闭水实验等过程</t>
  </si>
  <si>
    <t>铸铁管</t>
  </si>
  <si>
    <t>开挖深度（平均）</t>
  </si>
  <si>
    <t>石屑回填</t>
  </si>
  <si>
    <t>开挖</t>
  </si>
  <si>
    <t>30</t>
  </si>
  <si>
    <t>SZLW020202005</t>
  </si>
  <si>
    <t>1、名称:II级钢筋混凝土管
2、规格:D800
3、其他：闭水试验
4、综合考虑按图纸和规范要求而实施、完成这项工程的一切有关费用</t>
  </si>
  <si>
    <t>D300</t>
  </si>
  <si>
    <t>31</t>
  </si>
  <si>
    <t>SZLW020402002</t>
  </si>
  <si>
    <t>圆形钢筋混凝雨水检查井</t>
  </si>
  <si>
    <t>1、名称:圆形钢筋混凝雨水检查井（06MS201-3-12）
2、规格:φ1000（D≤600）
3、综合考虑按图纸和规范要求而实施、完成这项工程的一切有关费用</t>
  </si>
  <si>
    <t>井位扩挖、垫层、底板、砌筑、抹面、爬梯、盖板、井周回填，井盖安装等全过程</t>
  </si>
  <si>
    <t>D150-200</t>
  </si>
  <si>
    <t>32</t>
  </si>
  <si>
    <t>SZLW020402003</t>
  </si>
  <si>
    <t>1、名称:圆形钢筋混凝雨水检查井（06MS201-3-17）
2、规格:φ1500（800≤D≤1000）
3、综合考虑按图纸和规范要求而实施、完成这项工程的一切有关费用</t>
  </si>
  <si>
    <t>钢筋混凝土管</t>
  </si>
  <si>
    <t>D600</t>
  </si>
  <si>
    <t>D800</t>
  </si>
  <si>
    <t>37</t>
  </si>
  <si>
    <t>管座基础 D600</t>
  </si>
  <si>
    <t>1、名称:管座基础
2、规格：C20
3、综合考虑按图纸和规范要求而实施、完成这项工程的一切有关费用</t>
  </si>
  <si>
    <t>38</t>
  </si>
  <si>
    <t>管座基础 D800</t>
  </si>
  <si>
    <t>四</t>
  </si>
  <si>
    <t>金湾区航空新城并宏大厦市政配套工程-LID工程</t>
  </si>
  <si>
    <t>SZLW020202002</t>
  </si>
  <si>
    <t>1、名称:II级钢筋混凝土管
2、规格:D400
3、其他：闭水试验
4、综合考虑按图纸和规范要求而实施、完成这项工程的一切有关费用</t>
  </si>
  <si>
    <t>SZLW020202001</t>
  </si>
  <si>
    <t>1、名称:II级钢筋混凝土管
2、规格:D300
3、其他：闭水试验
4、综合考虑按图纸和规范要求而实施、完成这项工程的一切有关费用</t>
  </si>
  <si>
    <t>PVC雨水管</t>
  </si>
  <si>
    <t>1、名称:PVC雨水管
2、规格:D100
3、其他：闭水试验
4、综合考虑按图纸和规范要求而实施、完成这项工程的一切有关费用</t>
  </si>
  <si>
    <t>管口处理、对口、上件、连接、管件安装闭水试验等全过程</t>
  </si>
  <si>
    <t>PVC穿孔管（长丝土工布包裹）</t>
  </si>
  <si>
    <t>1、名称:PVC穿孔管
2、规格:D100 开孔率1.3%
3、含长丝土工布包裹300g/m2
4、综合考虑按图纸和规范要求而实施、完成这项工程的一切有关费用</t>
  </si>
  <si>
    <t>打孔、管口处理、对口、上件、连接、管件安装闭水试验、包裹等全过程</t>
  </si>
  <si>
    <t>SZLW020402006</t>
  </si>
  <si>
    <t>环保型双箅雨水口</t>
  </si>
  <si>
    <t>1、名称:环保型双箅雨水口
2、规格：参15MR105-3
3、综合考虑按图纸和规范要求而实施、完成这项工程的一切有关费用</t>
  </si>
  <si>
    <t>1、名称:石屑垫层
2、厚度：100mm
3、综合考虑按图纸和规范要求而实施、完成这项工程的一切有关费用</t>
  </si>
  <si>
    <t>D400</t>
  </si>
  <si>
    <t>五</t>
  </si>
  <si>
    <t>金湾区航空新城并宏大厦市政配套工程-喷灌工程</t>
  </si>
  <si>
    <t>不锈钢流量压力远传电磁(一体)水表</t>
  </si>
  <si>
    <t>1、名称：不锈钢流量压力远传电磁(一体)水表
2、规格：DN100
3、综合考虑按图纸和规范要求而实施、完成这项工程的一切有关费用</t>
  </si>
  <si>
    <t>尺寸校正、安装、通水试验</t>
  </si>
  <si>
    <t>塑料闸阀</t>
  </si>
  <si>
    <t>1、名称：塑料闸阀
2、规格：DN100
3、公称压力：PN=1.0MPa
4、综合考虑按图纸和规范要求而实施、完成这项工程的一切有关费用</t>
  </si>
  <si>
    <t>切管、坡口、清理工作面、管件安装</t>
  </si>
  <si>
    <t>1、名称：塑料闸阀
2、规格：DN80
3、公称压力：PN=1.0MPa
4、综合考虑按图纸和规范要求而实施、完成这项工程的一切有关费用</t>
  </si>
  <si>
    <t>倒流防止器</t>
  </si>
  <si>
    <t>1、名称：倒流防止器
2、规格：DN100
3、公称压力：PN=1.0MPa
4、综合考虑按图纸和规范要求而实施、完成这项工程的一切有关费用</t>
  </si>
  <si>
    <t>切管、制垫、加垫，安装，紧螺栓、水压试验</t>
  </si>
  <si>
    <t>JTLW020203001</t>
  </si>
  <si>
    <t>PE100给水管(SDR17)</t>
  </si>
  <si>
    <t>1、名称：PE100给水管(SDR17)
2、规格：DN100
3、连接方式：电热熔连接
5、其他：管道试压
6、综合考虑按图纸和规范要求而实施、完成这项工程的一切有关费用</t>
  </si>
  <si>
    <t>定位、预留孔洞及堵洞、管道支架托架制作安装、梁板孔洞、普通套管阀门安装、管槽预留及修补、压力试验等全过程</t>
  </si>
  <si>
    <t>1、名称：PE100给水管(SDR17)
2、规格：DN80
3、连接方式：电热熔连接
5、其他：管道试压
6、综合考虑按图纸和规范要求而实施、完成这项工程的一切有关费用</t>
  </si>
  <si>
    <t>1、名称：PE100给水管(SDR17)
2、规格：DN50
3、连接方式：电热熔连接
5、其他：管道试压
6、综合考虑按图纸和规范要求而实施、完成这项工程的一切有关费用</t>
  </si>
  <si>
    <t>1、名称：PE100给水管(SDR17)
2、规格：DN25
3、连接方式：电热熔连接
5、其他：管道试压
6、综合考虑按图纸和规范要求而实施、完成这项工程的一切有关费用</t>
  </si>
  <si>
    <t>1、名称：PE100给水管(SDR17)
2、规格：DN15
3、连接方式：电热熔连接
5、其他：管道试压
6、综合考虑按图纸和规范要求而实施、完成这项工程的一切有关费用</t>
  </si>
  <si>
    <t>离心式塑料微喷头</t>
  </si>
  <si>
    <t>1、名称：离心式塑料微喷头
2、规格：DN15
3、喷洒直径：D=1.5
4、喷洒角度：360°
5、综合考虑按图纸和规范要求而实施、完成这项工程的一切有关费用</t>
  </si>
  <si>
    <t>喷头检查、清理、安装、水压试验等</t>
  </si>
  <si>
    <t>1、名称：离心式塑料微喷头
2、规格：DN15
3、喷洒直径：D=2.0
4、喷洒角度：360°
5、综合考虑按图纸和规范要求而实施、完成这项工程的一切有关费用</t>
  </si>
  <si>
    <t>PE100给水管三通</t>
  </si>
  <si>
    <t>1、名称：PE100给水管三通
2、规格：DN100×DN80
3、综合考虑按图纸和规范要求而实施、完成这项工程的一切有关费用</t>
  </si>
  <si>
    <t>1、名称：PE100给水管三通
2、规格：DN80×DN50
3、综合考虑按图纸和规范要求而实施、完成这项工程的一切有关费用</t>
  </si>
  <si>
    <t>1、名称：PE100给水管三通
2、规格：DN50×DN25
3、综合考虑按图纸和规范要求而实施、完成这项工程的一切有关费用</t>
  </si>
  <si>
    <t>1、名称：PE100给水管三通
2、规格：DN50×DN15
3、综合考虑按图纸和规范要求而实施、完成这项工程的一切有关费用</t>
  </si>
  <si>
    <t>PE100给水管90°弯头</t>
  </si>
  <si>
    <t>1、名称：PE100给水管90°弯头
2、规格：DN100
3、综合考虑按图纸和规范要求而实施、完成这项工程的一切有关费用</t>
  </si>
  <si>
    <t>1、名称：PE100给水管90°弯头
2、规格：DN80
3、综合考虑按图纸和规范要求而实施、完成这项工程的一切有关费用</t>
  </si>
  <si>
    <t>1、名称：PE100给水管90°弯头
2、规格：DN15
3、综合考虑按图纸和规范要求而实施、完成这项工程的一切有关费用</t>
  </si>
  <si>
    <t>Y型过滤器</t>
  </si>
  <si>
    <t>1、名称：Y型过滤器
2、规格：DN100
3、综合考虑按图纸和规范要求而实施、完成这项工程的一切有关费用</t>
  </si>
  <si>
    <t>切管、焊接法兰、制垫加垫、紧螺栓、水压试验</t>
  </si>
  <si>
    <t>快速提水器（全套）</t>
  </si>
  <si>
    <t>1、名称：快速提水器（全套）
2、规格：DN25
3、综合考虑按图纸和规范要求而实施、完成这项工程的一切有关费用</t>
  </si>
  <si>
    <t>就位、固定、安装</t>
  </si>
  <si>
    <t>喷淋管</t>
  </si>
  <si>
    <t>1、名称:石屑垫层
2、厚度：150mm
3、综合考虑按图纸和规范要求而实施、完成这项工程的一切有关费用</t>
  </si>
  <si>
    <t>DN50</t>
  </si>
  <si>
    <t>DN80</t>
  </si>
  <si>
    <t>六</t>
  </si>
  <si>
    <t>金湾区航空新城并宏大厦市政配套工程-照明工程</t>
  </si>
  <si>
    <t>JTLW020505001</t>
  </si>
  <si>
    <t>单挑路灯</t>
  </si>
  <si>
    <t>1、名称：单挑路灯灯杆
2、灯杆高度：8m
3、灯杆材质：灯杆、灯臂采用内外表面热镀锌Q235钢材；外表面喷纯聚脂塑粉，喷塑厚度&gt;80um；灯杆、灯臂厚度不小于4.0mm
4、光源：半截光型LED灯 60W
5、防护等级：IP65
6、配电板：200×150×6
7、基础：C30钢筋混凝土基础（700×700×1600）
8、钢筋笼：M24地脚螺栓、φ10@200箍
9、镀铜角钢接地极：L50×50×5 L=2500
10、其他：实现调光、接入现状控制
11、综合考虑按图纸和规范要求而实施、完成这项工程的一切有关费用</t>
  </si>
  <si>
    <t>灯具拼装、灯内穿线、吊车起吊定位,路灯安装、调试等全过程</t>
  </si>
  <si>
    <t>SZLW020801023</t>
  </si>
  <si>
    <t>灯引线</t>
  </si>
  <si>
    <t>1、名称：灯引线
2、规格：RVV-3×2.5mm
3、综合考虑按图纸和规范要求而实施、完成这项工程的一切有关费用</t>
  </si>
  <si>
    <t>扫管、涂滑石粉、穿线、接焊包头</t>
  </si>
  <si>
    <t>SZLW020801025</t>
  </si>
  <si>
    <t>空气开关</t>
  </si>
  <si>
    <t>1、名称：空气开关
2、规格：MB1L-63C16/2P 30ms 0.1s
3、综合考虑按图纸和规范要求而实施、完成这项工程的一切有关费用</t>
  </si>
  <si>
    <t>开箱、检查、安装、接线</t>
  </si>
  <si>
    <t>SZLW020504002</t>
  </si>
  <si>
    <t>无碱玻璃钢电缆保护管（过路段）</t>
  </si>
  <si>
    <t>1、名称：无碱玻璃钢电缆保护管
2、规格：D100
3、综合考虑按图纸和规范要求而实施、完成这项工程的一切有关费用</t>
  </si>
  <si>
    <t>管子切口，坡口加工，管口连接，管道安装</t>
  </si>
  <si>
    <t>电力电缆</t>
  </si>
  <si>
    <t>1、名称：电力电缆
2、规格：YJV22-4×25+1×16
3、其他：电缆头制作安装
4、综合考虑按图纸和规范要求而实施、完成这项工程的一切有关费用</t>
  </si>
  <si>
    <t>1.揭（盖）盖板
2.铺砂、盖砖
3.电缆敷设
4.电缆头制作、安装</t>
  </si>
  <si>
    <t>镀铜扁钢</t>
  </si>
  <si>
    <t>1、名称：镀铜扁钢
2、规格：25×4
3、综合考虑按图纸和规范要求而实施、完成这项工程的一切有关费用</t>
  </si>
  <si>
    <t>接地线平直、下料、测位、打眼、埋卡子、煨弯、敷设、焊接、补漆</t>
  </si>
  <si>
    <t>SZLW020404001</t>
  </si>
  <si>
    <t>电缆接线井</t>
  </si>
  <si>
    <t>1、名称：电缆接线井
2、规格：800×800×1000
3、底板：C25混凝土 100mm厚
4、砖砌体：M10水泥砂浆砌MU10砖
5、压顶：C25 100厚
6、抹面：1：2水泥砂浆抹面
7、预制钢筋混凝土盖板：1000×1000×90 C25
8、综合考虑按图纸和规范要求而实施、完成这项工程的一切有关费用</t>
  </si>
  <si>
    <t>1、混凝土垫层：清基、挂线、捣固、抹平、养生，材料场内运输。
2、清理现场、混凝土捣固、养生，砌筑，材料场内运输。
3、砌筑、清整砌体、混凝土捣固、养生，材料场内运输、清理场地。
4、清理墙面、筛砂、勾缝、抹灰，清扫落地灰，材料场内运输等。
5、预制井盖制作及安装。
6、钢筋制作及安装。
7、基础土方开挖及回填。</t>
  </si>
  <si>
    <t>现状绿化破除及恢复</t>
  </si>
  <si>
    <t>1、名称：现状绿化破除及恢复
2、宽度：700mm
3、综合考虑按图纸和规范要求而实施、完成这项工程的一切有关费用</t>
  </si>
  <si>
    <t>现状道路破除及恢复</t>
  </si>
  <si>
    <t>1、名称：现状道路破除及恢复
2、深度：1000mm
3、综合考虑按图纸和规范要求而实施、完成这项工程的一切有关费用</t>
  </si>
  <si>
    <t>七</t>
  </si>
  <si>
    <t>金湾区航空新城并宏大厦市政配套工程-景观工程</t>
  </si>
  <si>
    <t>绿化</t>
  </si>
  <si>
    <t>银鳞风铃木</t>
  </si>
  <si>
    <t>1、名称：银鳞风铃木
2、规格：胸径11-12cm，高度450-500cm，冠幅200-250cm
3、土球尺寸：φ80
4、其他：4层托以上，净杆高250cm以上，假植全冠苗，冠幅饱满，不偏冠
5、养护期：12个月
6、综合考虑按设计图纸及规范要求、完成这项工程的一切费用</t>
  </si>
  <si>
    <t>株</t>
  </si>
  <si>
    <t>鸢尾(紫)</t>
  </si>
  <si>
    <t>1、名称：鸢尾(紫)
2、规格：高度25-30cm，冠幅20-25cm
3、土球尺寸：5斤/袋 36袋/m2
4、养护期：12个月
5、综合考虑按设计图纸及规范要求、完成这项工程的一切费用</t>
  </si>
  <si>
    <t>紫花翠芦莉</t>
  </si>
  <si>
    <t>1、名称：紫花翠芦莉
2、规格：高度25-30cm，冠幅20-25cm
3、土球尺寸：5斤/袋 36袋/m2
4、养护期：12个月
5、综合考虑按设计图纸及规范要求、完成这项工程的一切费用</t>
  </si>
  <si>
    <t>马尼拉草</t>
  </si>
  <si>
    <t>1、名称：马尼拉草
2、规格：密度≥95%
3、养护期：12个月
4、综合考虑按设计图纸及规范要求、完成这项工程的一切费用</t>
  </si>
  <si>
    <t>种植土</t>
  </si>
  <si>
    <t>1、名称：种植土
2、厚度：30cm
3、综合考虑按设计图纸及规范要求、完成这项工程的一切费用</t>
  </si>
  <si>
    <t>乔木支护</t>
  </si>
  <si>
    <t>1、名称：杉木支撑
2、规格：长度2.5m,直径6cm
3、其他：4杆/套
4、综合考虑按设计图纸及规范要求、完成这项工程的一切费用</t>
  </si>
  <si>
    <t>人行道铺装</t>
  </si>
  <si>
    <t>SZLW020103002</t>
  </si>
  <si>
    <t>深灰色机制仿石透水砖盲道砖</t>
  </si>
  <si>
    <t>1、名称：深灰色机制仿石透水砖盲道砖
2、规格：300×300×60
3、综合考虑按设计图纸及规范要求、完成这项工程的一切费用</t>
  </si>
  <si>
    <t>场内运输、放线、砂浆拌合、运输、 砂浆找平、 铺装、养生</t>
  </si>
  <si>
    <t>浅灰色机制仿石透水砖盲道砖</t>
  </si>
  <si>
    <t>1、名称：浅灰色机制仿石透水砖盲道砖
2、规格：300×300×60
3、综合考虑按设计图纸及规范要求、完成这项工程的一切费用</t>
  </si>
  <si>
    <t>1、名称：深灰色机制仿石透水砖盲道砖
2、规格：600×300×60
3、综合考虑按设计图纸及规范要求、完成这项工程的一切费用</t>
  </si>
  <si>
    <t>1、名称：浅灰色机制仿石透水砖盲道砖
2、规格：600×300×60
3、综合考虑按设计图纸及规范要求、完成这项工程的一切费用</t>
  </si>
  <si>
    <t>成品垃圾桶</t>
  </si>
  <si>
    <t>1、名称：成品垃圾桶
2、规格：900mm×780mm×360mm
3、材质：镀锌板
4、综合考虑按设计图纸及规范要求、完成这项工程的一切费用</t>
  </si>
  <si>
    <t>定位、安装固定等全过程</t>
  </si>
  <si>
    <t>成品铁艺坐凳</t>
  </si>
  <si>
    <t>1、名称：成品铁艺坐凳
2、规格：1500mm×460mm×710mm
3、材质：铝合金
4、综合考虑按设计图纸及规范要求、完成这项工程的一切费用</t>
  </si>
  <si>
    <t>小计</t>
  </si>
  <si>
    <t>税率</t>
  </si>
  <si>
    <t>合计</t>
  </si>
  <si>
    <t>石料材料清单</t>
  </si>
  <si>
    <t>工程名称:金湾区航空新城并宏大厦市政配套工程</t>
  </si>
  <si>
    <t>设备及材料名称</t>
  </si>
  <si>
    <t>规格、型号等特殊要求</t>
  </si>
  <si>
    <t>单位</t>
  </si>
  <si>
    <t>数量</t>
  </si>
  <si>
    <t>含税单价</t>
  </si>
  <si>
    <t>含税小计</t>
  </si>
  <si>
    <t>备注</t>
  </si>
  <si>
    <t>石料</t>
  </si>
  <si>
    <t>石屑</t>
  </si>
  <si>
    <t>中砂</t>
  </si>
  <si>
    <t>河砂</t>
  </si>
  <si>
    <t>碎石</t>
  </si>
  <si>
    <t>20～40</t>
  </si>
  <si>
    <t>含税合计</t>
  </si>
  <si>
    <t>元</t>
  </si>
  <si>
    <t>其中税金</t>
  </si>
  <si>
    <t>其中不含税</t>
  </si>
  <si>
    <t>名称</t>
  </si>
  <si>
    <t>型号规格</t>
  </si>
  <si>
    <t>总数量</t>
  </si>
  <si>
    <t>除税编制价(单价)</t>
  </si>
  <si>
    <t>除税编制价(合价)</t>
  </si>
  <si>
    <t>橡胶圈</t>
  </si>
  <si>
    <t>DN300</t>
  </si>
  <si>
    <t>28.8400</t>
  </si>
  <si>
    <t>43.68</t>
  </si>
  <si>
    <t>1259.73</t>
  </si>
  <si>
    <t>DN200</t>
  </si>
  <si>
    <t>11.0860</t>
  </si>
  <si>
    <t>24.00</t>
  </si>
  <si>
    <t>266.06</t>
  </si>
  <si>
    <t>DN150</t>
  </si>
  <si>
    <t>54.9500</t>
  </si>
  <si>
    <t>3.60</t>
  </si>
  <si>
    <t>197.82</t>
  </si>
  <si>
    <t>土工布</t>
  </si>
  <si>
    <t>329.6295</t>
  </si>
  <si>
    <t>6.69</t>
  </si>
  <si>
    <t>2205.22</t>
  </si>
  <si>
    <t>聚酯长丝土工布</t>
  </si>
  <si>
    <t>2324.3769</t>
  </si>
  <si>
    <t>2.71</t>
  </si>
  <si>
    <t>6299.06</t>
  </si>
  <si>
    <t>复合普通硅酸盐水泥</t>
  </si>
  <si>
    <t>P.C 32.5</t>
  </si>
  <si>
    <t>t</t>
  </si>
  <si>
    <t>147.3793</t>
  </si>
  <si>
    <t>337.00</t>
  </si>
  <si>
    <t>49666.82</t>
  </si>
  <si>
    <t>碎石 20～40</t>
  </si>
  <si>
    <t>91.8770</t>
  </si>
  <si>
    <t>155.00</t>
  </si>
  <si>
    <t>14240.94</t>
  </si>
  <si>
    <t>碎石 60</t>
  </si>
  <si>
    <t>26.2555</t>
  </si>
  <si>
    <t>4069.60</t>
  </si>
  <si>
    <t>1767.4020</t>
  </si>
  <si>
    <t>93.00</t>
  </si>
  <si>
    <t>164368.39</t>
  </si>
  <si>
    <t>中粗砂</t>
  </si>
  <si>
    <t>20.2130</t>
  </si>
  <si>
    <t>214.00</t>
  </si>
  <si>
    <t>4325.58</t>
  </si>
  <si>
    <t>44.1480</t>
  </si>
  <si>
    <t>6842.94</t>
  </si>
  <si>
    <t>805.8700</t>
  </si>
  <si>
    <t>91.00</t>
  </si>
  <si>
    <t>73334.17</t>
  </si>
  <si>
    <t>标准砖 240×115×53</t>
  </si>
  <si>
    <t>千块</t>
  </si>
  <si>
    <t>0.7968</t>
  </si>
  <si>
    <t>523.40</t>
  </si>
  <si>
    <t>417.05</t>
  </si>
  <si>
    <t>9.9388</t>
  </si>
  <si>
    <t>5201.97</t>
  </si>
  <si>
    <t>配电板</t>
  </si>
  <si>
    <t>200*150*6</t>
  </si>
  <si>
    <t>10.0000</t>
  </si>
  <si>
    <t>40.00</t>
  </si>
  <si>
    <t>400.00</t>
  </si>
  <si>
    <t>直缝焊接钢管</t>
  </si>
  <si>
    <t>D108×6</t>
  </si>
  <si>
    <t>7.0840</t>
  </si>
  <si>
    <t>37.12</t>
  </si>
  <si>
    <t>262.96</t>
  </si>
  <si>
    <t>DN150×100</t>
  </si>
  <si>
    <t>1.0000</t>
  </si>
  <si>
    <t>80.00</t>
  </si>
  <si>
    <t>无碱玻璃钢电缆保护管</t>
  </si>
  <si>
    <t>DN100</t>
  </si>
  <si>
    <t>74.1600</t>
  </si>
  <si>
    <t>72.00</t>
  </si>
  <si>
    <t>5339.52</t>
  </si>
  <si>
    <t>承插离心球墨铸铁给水管（K9级）</t>
  </si>
  <si>
    <t>324.00</t>
  </si>
  <si>
    <t>3240.00</t>
  </si>
  <si>
    <t>27.0000</t>
  </si>
  <si>
    <t>197.00</t>
  </si>
  <si>
    <t>5319.00</t>
  </si>
  <si>
    <t>205.0000</t>
  </si>
  <si>
    <t>146.00</t>
  </si>
  <si>
    <t>29930.00</t>
  </si>
  <si>
    <t>PVC排水管</t>
  </si>
  <si>
    <t>48.1100</t>
  </si>
  <si>
    <t>10.41</t>
  </si>
  <si>
    <t>500.83</t>
  </si>
  <si>
    <t>PVC透水管</t>
  </si>
  <si>
    <t>849.0000</t>
  </si>
  <si>
    <t>14.50</t>
  </si>
  <si>
    <t>12310.50</t>
  </si>
  <si>
    <t>15.2250</t>
  </si>
  <si>
    <t>58.14</t>
  </si>
  <si>
    <t>885.18</t>
  </si>
  <si>
    <t>30.4500</t>
  </si>
  <si>
    <t>39.00</t>
  </si>
  <si>
    <t>1187.55</t>
  </si>
  <si>
    <t>439.6200</t>
  </si>
  <si>
    <t>12.14</t>
  </si>
  <si>
    <t>5336.99</t>
  </si>
  <si>
    <t>DN25</t>
  </si>
  <si>
    <t>6.1200</t>
  </si>
  <si>
    <t>3.04</t>
  </si>
  <si>
    <t>18.60</t>
  </si>
  <si>
    <t>DN15</t>
  </si>
  <si>
    <t>320.2800</t>
  </si>
  <si>
    <t>2.00</t>
  </si>
  <si>
    <t>640.56</t>
  </si>
  <si>
    <t>塑料排水管 DN25</t>
  </si>
  <si>
    <t>1.2180</t>
  </si>
  <si>
    <t>3.86</t>
  </si>
  <si>
    <t>4.70</t>
  </si>
  <si>
    <t>307.8300</t>
  </si>
  <si>
    <t>22.33</t>
  </si>
  <si>
    <t>6873.84</t>
  </si>
  <si>
    <t>DN800</t>
  </si>
  <si>
    <t>86.8600</t>
  </si>
  <si>
    <t>350.00</t>
  </si>
  <si>
    <t>30401.00</t>
  </si>
  <si>
    <t>60.6000</t>
  </si>
  <si>
    <t>231.00</t>
  </si>
  <si>
    <t>13998.60</t>
  </si>
  <si>
    <t>32.3200</t>
  </si>
  <si>
    <t>136.00</t>
  </si>
  <si>
    <t>4395.52</t>
  </si>
  <si>
    <t>74.7400</t>
  </si>
  <si>
    <t>124.00</t>
  </si>
  <si>
    <t>9267.76</t>
  </si>
  <si>
    <t>球墨铸铁承插四通</t>
  </si>
  <si>
    <t>DN300*200</t>
  </si>
  <si>
    <t>695.00</t>
  </si>
  <si>
    <t>DN200*150</t>
  </si>
  <si>
    <t>315.00</t>
  </si>
  <si>
    <t>球墨铸铁承插三通</t>
  </si>
  <si>
    <t>DN300*150</t>
  </si>
  <si>
    <t>598.00</t>
  </si>
  <si>
    <t>DN300*100</t>
  </si>
  <si>
    <t>549.00</t>
  </si>
  <si>
    <t>4.0000</t>
  </si>
  <si>
    <t>650.00</t>
  </si>
  <si>
    <t>2600.00</t>
  </si>
  <si>
    <t>2.0000</t>
  </si>
  <si>
    <t>487.00</t>
  </si>
  <si>
    <t>974.00</t>
  </si>
  <si>
    <t>250.00</t>
  </si>
  <si>
    <t>软密封法兰闸阀（不锈钢杆））</t>
  </si>
  <si>
    <t>696.00</t>
  </si>
  <si>
    <t>1392.00</t>
  </si>
  <si>
    <t>465.00</t>
  </si>
  <si>
    <t>法兰闸阀</t>
  </si>
  <si>
    <t>1380.00</t>
  </si>
  <si>
    <t>2760.00</t>
  </si>
  <si>
    <t>700.00</t>
  </si>
  <si>
    <t>2950.00</t>
  </si>
  <si>
    <t>1.0100</t>
  </si>
  <si>
    <t>135.00</t>
  </si>
  <si>
    <t>136.35</t>
  </si>
  <si>
    <t>3.0300</t>
  </si>
  <si>
    <t>105.00</t>
  </si>
  <si>
    <t>318.15</t>
  </si>
  <si>
    <t>快速取水器</t>
  </si>
  <si>
    <t>9.0900</t>
  </si>
  <si>
    <t>25.00</t>
  </si>
  <si>
    <t>227.25</t>
  </si>
  <si>
    <t>碳钢平焊法兰</t>
  </si>
  <si>
    <t>1.0MPa DN50</t>
  </si>
  <si>
    <t>副</t>
  </si>
  <si>
    <t>0.0121</t>
  </si>
  <si>
    <t>33.44</t>
  </si>
  <si>
    <t>0.40</t>
  </si>
  <si>
    <t>钢板平焊法兰</t>
  </si>
  <si>
    <t>0.5000</t>
  </si>
  <si>
    <t>102.33</t>
  </si>
  <si>
    <t>51.17</t>
  </si>
  <si>
    <t>72.60</t>
  </si>
  <si>
    <t>堵头</t>
  </si>
  <si>
    <t>180.00</t>
  </si>
  <si>
    <t>360.00</t>
  </si>
  <si>
    <t>57.00</t>
  </si>
  <si>
    <t>地上式消防栓</t>
  </si>
  <si>
    <t>SS150/65-1.0</t>
  </si>
  <si>
    <t>1328.48</t>
  </si>
  <si>
    <t>喷洒直径D=1.5m</t>
  </si>
  <si>
    <t>187.8600</t>
  </si>
  <si>
    <t>375.72</t>
  </si>
  <si>
    <t>喷洒直径D=2.0m</t>
  </si>
  <si>
    <t>76.7600</t>
  </si>
  <si>
    <t>153.52</t>
  </si>
  <si>
    <t>7200.00</t>
  </si>
  <si>
    <t>25×4</t>
  </si>
  <si>
    <t>292.9500</t>
  </si>
  <si>
    <t>8.50</t>
  </si>
  <si>
    <t>2490.08</t>
  </si>
  <si>
    <t>绝缘电线</t>
  </si>
  <si>
    <t>RVV-3*2.5</t>
  </si>
  <si>
    <t>110.0000</t>
  </si>
  <si>
    <t>11.41</t>
  </si>
  <si>
    <t>1255.10</t>
  </si>
  <si>
    <t>铜芯电缆</t>
  </si>
  <si>
    <t>YJV22-4*25+1*16</t>
  </si>
  <si>
    <t>332.2900</t>
  </si>
  <si>
    <t>127.74</t>
  </si>
  <si>
    <t>42446.72</t>
  </si>
  <si>
    <t>热缩式电缆终端头</t>
  </si>
  <si>
    <t>4*25+1*16</t>
  </si>
  <si>
    <t>24.4800</t>
  </si>
  <si>
    <t>60.00</t>
  </si>
  <si>
    <t>1468.80</t>
  </si>
  <si>
    <t>成套路灯</t>
  </si>
  <si>
    <t>8米灯杆</t>
  </si>
  <si>
    <t>根</t>
  </si>
  <si>
    <t>1200.00</t>
  </si>
  <si>
    <t>12000.00</t>
  </si>
  <si>
    <t>1200×1500</t>
  </si>
  <si>
    <t>777.50</t>
  </si>
  <si>
    <t>1555.00</t>
  </si>
  <si>
    <t>标志板</t>
  </si>
  <si>
    <t>1200×600</t>
  </si>
  <si>
    <t>311.00</t>
  </si>
  <si>
    <t>622.00</t>
  </si>
  <si>
    <t>路灯号牌</t>
  </si>
  <si>
    <t>10.1000</t>
  </si>
  <si>
    <t>12.00</t>
  </si>
  <si>
    <t>121.20</t>
  </si>
  <si>
    <t>铸铁井盖</t>
  </si>
  <si>
    <t>φ700</t>
  </si>
  <si>
    <t>5.0000</t>
  </si>
  <si>
    <t>1750.00</t>
  </si>
  <si>
    <t>铸铁井盖、井座</t>
  </si>
  <si>
    <t>3.0000</t>
  </si>
  <si>
    <t>1050.00</t>
  </si>
  <si>
    <t>铸铁平篦</t>
  </si>
  <si>
    <t>500*700</t>
  </si>
  <si>
    <t>28.0000</t>
  </si>
  <si>
    <t>7000.00</t>
  </si>
  <si>
    <t>99.5*45*15cm</t>
  </si>
  <si>
    <t>861.7350</t>
  </si>
  <si>
    <t>121.00</t>
  </si>
  <si>
    <t>104269.94</t>
  </si>
  <si>
    <t>警示柱</t>
  </si>
  <si>
    <t>镀锌钢管柱D114，总长1.6m</t>
  </si>
  <si>
    <t>110.00</t>
  </si>
  <si>
    <t>440.00</t>
  </si>
  <si>
    <t>标志杆 3m</t>
  </si>
  <si>
    <t>镀锌钢管D60*3.5</t>
  </si>
  <si>
    <t>270.00</t>
  </si>
  <si>
    <t>标志杆 4m</t>
  </si>
  <si>
    <t>145.00</t>
  </si>
  <si>
    <t>435.00</t>
  </si>
  <si>
    <t>镀铜角钢</t>
  </si>
  <si>
    <t>∠50*50*5</t>
  </si>
  <si>
    <t>kg</t>
  </si>
  <si>
    <t>47.1273</t>
  </si>
  <si>
    <t>4.16</t>
  </si>
  <si>
    <t>196.05</t>
  </si>
  <si>
    <t>镀铜角钢接地极</t>
  </si>
  <si>
    <t>L50×50×5  L=2.5</t>
  </si>
  <si>
    <t>21.0000</t>
  </si>
  <si>
    <t>96.00</t>
  </si>
  <si>
    <t>2016.00</t>
  </si>
  <si>
    <t>自动空气断路器 DZ型</t>
  </si>
  <si>
    <t>MB1L-63C16/2P 30ms 0.1s</t>
  </si>
  <si>
    <t>35.00</t>
  </si>
  <si>
    <t>预拌水泥砂浆 1:2</t>
  </si>
  <si>
    <t>0.0029</t>
  </si>
  <si>
    <t>430.00</t>
  </si>
  <si>
    <t>1.25</t>
  </si>
  <si>
    <t>0.2606</t>
  </si>
  <si>
    <t>112.06</t>
  </si>
  <si>
    <t>预拌水泥砂浆 1:3</t>
  </si>
  <si>
    <t>0.0700</t>
  </si>
  <si>
    <t>30.10</t>
  </si>
  <si>
    <t>预拌水泥砂浆 M7.5</t>
  </si>
  <si>
    <t>0.0173</t>
  </si>
  <si>
    <t>393.00</t>
  </si>
  <si>
    <t>6.80</t>
  </si>
  <si>
    <t>砌筑砂浆</t>
  </si>
  <si>
    <t>0.0064</t>
  </si>
  <si>
    <t>2.52</t>
  </si>
  <si>
    <t>0.1868</t>
  </si>
  <si>
    <t>73.41</t>
  </si>
  <si>
    <t>预拌水泥砂浆 M10</t>
  </si>
  <si>
    <t>3.9455</t>
  </si>
  <si>
    <t>409.00</t>
  </si>
  <si>
    <t>1613.71</t>
  </si>
  <si>
    <t>2.5979</t>
  </si>
  <si>
    <t>1039.16</t>
  </si>
  <si>
    <t>预拌砂浆</t>
  </si>
  <si>
    <t>1.5180</t>
  </si>
  <si>
    <t>596.57</t>
  </si>
  <si>
    <t>干混砌筑砂浆(配合比) DM M20</t>
  </si>
  <si>
    <t>16.4400</t>
  </si>
  <si>
    <t>588.34</t>
  </si>
  <si>
    <t>9672.31</t>
  </si>
  <si>
    <t>干混砌筑砂浆 M20</t>
  </si>
  <si>
    <t>24.6600</t>
  </si>
  <si>
    <t>351.00</t>
  </si>
  <si>
    <t>8655.66</t>
  </si>
  <si>
    <t>普通预拌混凝土 C15</t>
  </si>
  <si>
    <t>13.3294</t>
  </si>
  <si>
    <t>419.00</t>
  </si>
  <si>
    <t>5585.02</t>
  </si>
  <si>
    <t>2.0503</t>
  </si>
  <si>
    <t>859.08</t>
  </si>
  <si>
    <t>普通预拌混凝土 C20</t>
  </si>
  <si>
    <t>60.1718</t>
  </si>
  <si>
    <t>425.00</t>
  </si>
  <si>
    <t>25573.02</t>
  </si>
  <si>
    <t>普通预拌混凝土 C25</t>
  </si>
  <si>
    <t>18.0769</t>
  </si>
  <si>
    <t>434.00</t>
  </si>
  <si>
    <t>7845.37</t>
  </si>
  <si>
    <t>0.8091</t>
  </si>
  <si>
    <t>331.00</t>
  </si>
  <si>
    <t>267.81</t>
  </si>
  <si>
    <t>普通预拌混凝土 C30</t>
  </si>
  <si>
    <t>27.7590</t>
  </si>
  <si>
    <t>442.00</t>
  </si>
  <si>
    <t>12269.48</t>
  </si>
  <si>
    <t>普通预拌混凝土 C40</t>
  </si>
  <si>
    <t>27.4518</t>
  </si>
  <si>
    <t>467.00</t>
  </si>
  <si>
    <t>12819.99</t>
  </si>
  <si>
    <t>普通预拌混凝土</t>
  </si>
  <si>
    <t>C25</t>
  </si>
  <si>
    <t>7.8400</t>
  </si>
  <si>
    <t>3402.56</t>
  </si>
  <si>
    <t>预拌混凝土 C15</t>
  </si>
  <si>
    <t>3.1500</t>
  </si>
  <si>
    <t>1319.85</t>
  </si>
  <si>
    <t>预拌混凝土 C30</t>
  </si>
  <si>
    <t>0.1540</t>
  </si>
  <si>
    <t>68.07</t>
  </si>
  <si>
    <t>300×300×60</t>
  </si>
  <si>
    <t>838.4400</t>
  </si>
  <si>
    <t>52.00</t>
  </si>
  <si>
    <t>43598.88</t>
  </si>
  <si>
    <t>φ300*600</t>
  </si>
  <si>
    <t>178.00</t>
  </si>
  <si>
    <t>534.00</t>
  </si>
  <si>
    <t>DN100*80</t>
  </si>
  <si>
    <t>23.00</t>
  </si>
  <si>
    <t>69.00</t>
  </si>
  <si>
    <t>DN80*50</t>
  </si>
  <si>
    <t>19.00</t>
  </si>
  <si>
    <t>DN50*25</t>
  </si>
  <si>
    <t>9.0000</t>
  </si>
  <si>
    <t>9.00</t>
  </si>
  <si>
    <t>81.00</t>
  </si>
  <si>
    <t>DN50*15</t>
  </si>
  <si>
    <t>262.0000</t>
  </si>
  <si>
    <t>8.60</t>
  </si>
  <si>
    <t>2253.20</t>
  </si>
  <si>
    <t>禁令标志（禁31）</t>
  </si>
  <si>
    <t>直径D=80cm，3mm厚铝合金板,V类钻石级</t>
  </si>
  <si>
    <t>285.85</t>
  </si>
  <si>
    <t>禁令标志（禁38）</t>
  </si>
  <si>
    <t>减速让行标志</t>
  </si>
  <si>
    <t>三角形，边长90cm，V类反光膜，3mm厚铝合金板</t>
  </si>
  <si>
    <t>398.27</t>
  </si>
  <si>
    <t>796.54</t>
  </si>
  <si>
    <t>向左急变标志</t>
  </si>
  <si>
    <t>80*80cm，3mm厚铝合金板,V类钻石级</t>
  </si>
  <si>
    <t>364.13</t>
  </si>
  <si>
    <t>1.20</t>
  </si>
  <si>
    <t>314.40</t>
  </si>
  <si>
    <t>108.00</t>
  </si>
  <si>
    <t>21.00</t>
  </si>
  <si>
    <t>42.00</t>
  </si>
  <si>
    <t>M24地脚螺栓</t>
  </si>
  <si>
    <t>0.8m</t>
  </si>
  <si>
    <t>124.4444</t>
  </si>
  <si>
    <t>11.08</t>
  </si>
  <si>
    <t>1378.84</t>
  </si>
  <si>
    <t>半截光型LED灯</t>
  </si>
  <si>
    <t>60W</t>
  </si>
  <si>
    <t>12.0000</t>
  </si>
  <si>
    <t>750.00</t>
  </si>
  <si>
    <t>9000.00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</si>
</sst>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"/>
    <numFmt numFmtId="179" formatCode="0.00;\-0.00;"/>
    <numFmt numFmtId="180" formatCode="0.000_ "/>
  </numFmts>
  <fonts count="50">
    <font>
      <sz val="9"/>
      <name val="SimSun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0"/>
      <name val="SimSun"/>
      <charset val="134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SimSun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b/>
      <sz val="10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7" borderId="19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8" borderId="22" applyNumberFormat="0" applyAlignment="0" applyProtection="0">
      <alignment vertical="center"/>
    </xf>
    <xf numFmtId="0" fontId="36" fillId="9" borderId="23" applyNumberFormat="0" applyAlignment="0" applyProtection="0">
      <alignment vertical="center"/>
    </xf>
    <xf numFmtId="0" fontId="37" fillId="9" borderId="22" applyNumberFormat="0" applyAlignment="0" applyProtection="0">
      <alignment vertical="center"/>
    </xf>
    <xf numFmtId="0" fontId="38" fillId="10" borderId="24" applyNumberFormat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6" fillId="0" borderId="0">
      <alignment vertical="center"/>
    </xf>
    <xf numFmtId="0" fontId="19" fillId="0" borderId="0"/>
    <xf numFmtId="0" fontId="46" fillId="0" borderId="0"/>
    <xf numFmtId="0" fontId="46" fillId="0" borderId="0"/>
    <xf numFmtId="0" fontId="19" fillId="0" borderId="0"/>
    <xf numFmtId="0" fontId="14" fillId="0" borderId="0"/>
    <xf numFmtId="0" fontId="47" fillId="0" borderId="0"/>
    <xf numFmtId="0" fontId="46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46" fillId="0" borderId="0">
      <alignment vertical="center"/>
    </xf>
    <xf numFmtId="0" fontId="46" fillId="0" borderId="0"/>
    <xf numFmtId="0" fontId="48" fillId="0" borderId="0">
      <alignment vertical="center"/>
    </xf>
    <xf numFmtId="0" fontId="49" fillId="38" borderId="27">
      <alignment vertical="center"/>
    </xf>
  </cellStyleXfs>
  <cellXfs count="198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/>
    <xf numFmtId="0" fontId="0" fillId="0" borderId="0" xfId="0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177" fontId="5" fillId="2" borderId="0" xfId="0" applyNumberFormat="1" applyFont="1" applyFill="1" applyBorder="1" applyAlignment="1">
      <alignment horizontal="center" vertical="center" wrapText="1"/>
    </xf>
    <xf numFmtId="177" fontId="5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176" fontId="6" fillId="2" borderId="0" xfId="0" applyNumberFormat="1" applyFont="1" applyFill="1" applyBorder="1" applyAlignment="1">
      <alignment horizontal="center" vertical="center" wrapText="1"/>
    </xf>
    <xf numFmtId="177" fontId="6" fillId="2" borderId="0" xfId="0" applyNumberFormat="1" applyFont="1" applyFill="1" applyBorder="1" applyAlignment="1">
      <alignment horizontal="left" vertical="center" wrapText="1"/>
    </xf>
    <xf numFmtId="177" fontId="6" fillId="2" borderId="0" xfId="0" applyNumberFormat="1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178" fontId="7" fillId="3" borderId="2" xfId="0" applyNumberFormat="1" applyFont="1" applyFill="1" applyBorder="1" applyAlignment="1">
      <alignment horizontal="right" vertical="center" wrapText="1"/>
    </xf>
    <xf numFmtId="177" fontId="9" fillId="3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78" fontId="10" fillId="2" borderId="2" xfId="0" applyNumberFormat="1" applyFont="1" applyFill="1" applyBorder="1" applyAlignment="1">
      <alignment horizontal="right" vertical="center" wrapText="1"/>
    </xf>
    <xf numFmtId="177" fontId="0" fillId="0" borderId="1" xfId="0" applyNumberFormat="1" applyFont="1" applyBorder="1" applyAlignment="1">
      <alignment vertical="center"/>
    </xf>
    <xf numFmtId="177" fontId="8" fillId="4" borderId="1" xfId="54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9" fontId="4" fillId="0" borderId="1" xfId="3" applyNumberFormat="1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177" fontId="12" fillId="0" borderId="0" xfId="0" applyNumberFormat="1" applyFont="1" applyFill="1" applyBorder="1" applyAlignment="1">
      <alignment horizontal="center" vertical="center"/>
    </xf>
    <xf numFmtId="9" fontId="12" fillId="0" borderId="0" xfId="3" applyNumberFormat="1" applyFont="1" applyFill="1" applyBorder="1" applyAlignment="1">
      <alignment horizontal="center" vertical="center"/>
    </xf>
    <xf numFmtId="0" fontId="0" fillId="0" borderId="0" xfId="0" applyFont="1"/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horizontal="left" vertical="center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177" fontId="18" fillId="0" borderId="0" xfId="0" applyNumberFormat="1" applyFont="1" applyFill="1" applyBorder="1" applyAlignment="1" applyProtection="1">
      <alignment horizontal="righ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wrapText="1"/>
    </xf>
    <xf numFmtId="0" fontId="18" fillId="0" borderId="0" xfId="0" applyNumberFormat="1" applyFont="1" applyFill="1" applyBorder="1" applyAlignment="1" applyProtection="1">
      <alignment horizontal="left" wrapText="1"/>
    </xf>
    <xf numFmtId="0" fontId="18" fillId="0" borderId="0" xfId="0" applyNumberFormat="1" applyFont="1" applyFill="1" applyBorder="1" applyAlignment="1" applyProtection="1">
      <alignment horizontal="center" wrapText="1"/>
    </xf>
    <xf numFmtId="177" fontId="18" fillId="0" borderId="0" xfId="0" applyNumberFormat="1" applyFont="1" applyFill="1" applyBorder="1" applyAlignment="1" applyProtection="1">
      <alignment horizontal="right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8" fillId="0" borderId="4" xfId="0" applyNumberFormat="1" applyFont="1" applyFill="1" applyBorder="1" applyAlignment="1" applyProtection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 applyProtection="1">
      <alignment horizontal="left" vertical="center" wrapText="1"/>
    </xf>
    <xf numFmtId="0" fontId="19" fillId="3" borderId="9" xfId="0" applyNumberFormat="1" applyFont="1" applyFill="1" applyBorder="1" applyAlignment="1" applyProtection="1">
      <alignment horizontal="left" vertical="center" wrapText="1"/>
    </xf>
    <xf numFmtId="0" fontId="19" fillId="3" borderId="9" xfId="0" applyNumberFormat="1" applyFont="1" applyFill="1" applyBorder="1" applyAlignment="1" applyProtection="1">
      <alignment horizontal="center" vertical="center" wrapText="1"/>
    </xf>
    <xf numFmtId="176" fontId="19" fillId="3" borderId="10" xfId="0" applyNumberFormat="1" applyFont="1" applyFill="1" applyBorder="1" applyAlignment="1" applyProtection="1">
      <alignment horizontal="center" vertical="center" wrapText="1"/>
    </xf>
    <xf numFmtId="179" fontId="19" fillId="3" borderId="10" xfId="0" applyNumberFormat="1" applyFont="1" applyFill="1" applyBorder="1" applyAlignment="1" applyProtection="1">
      <alignment horizontal="center" vertical="center" wrapText="1"/>
    </xf>
    <xf numFmtId="179" fontId="7" fillId="3" borderId="7" xfId="0" applyNumberFormat="1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 applyProtection="1">
      <alignment horizontal="left" vertical="center" wrapText="1"/>
    </xf>
    <xf numFmtId="0" fontId="19" fillId="0" borderId="2" xfId="0" applyNumberFormat="1" applyFont="1" applyFill="1" applyBorder="1" applyAlignment="1" applyProtection="1">
      <alignment horizontal="center" vertical="center" wrapText="1"/>
    </xf>
    <xf numFmtId="176" fontId="19" fillId="0" borderId="11" xfId="0" applyNumberFormat="1" applyFont="1" applyFill="1" applyBorder="1" applyAlignment="1" applyProtection="1">
      <alignment horizontal="center" vertical="center" wrapText="1"/>
    </xf>
    <xf numFmtId="177" fontId="7" fillId="0" borderId="5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179" fontId="19" fillId="0" borderId="11" xfId="0" applyNumberFormat="1" applyFont="1" applyFill="1" applyBorder="1" applyAlignment="1" applyProtection="1">
      <alignment horizontal="center" vertical="center" wrapText="1"/>
    </xf>
    <xf numFmtId="179" fontId="10" fillId="0" borderId="5" xfId="0" applyNumberFormat="1" applyFont="1" applyFill="1" applyBorder="1" applyAlignment="1">
      <alignment horizontal="right" vertical="center" wrapText="1"/>
    </xf>
    <xf numFmtId="178" fontId="19" fillId="0" borderId="11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179" fontId="12" fillId="0" borderId="11" xfId="0" applyNumberFormat="1" applyFont="1" applyFill="1" applyBorder="1" applyAlignment="1" applyProtection="1">
      <alignment horizontal="center" vertical="center" wrapText="1"/>
    </xf>
    <xf numFmtId="179" fontId="12" fillId="0" borderId="5" xfId="0" applyNumberFormat="1" applyFont="1" applyFill="1" applyBorder="1" applyAlignment="1">
      <alignment horizontal="right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3" xfId="0" applyNumberFormat="1" applyFont="1" applyFill="1" applyBorder="1" applyAlignment="1">
      <alignment horizontal="center" vertical="center" wrapText="1"/>
    </xf>
    <xf numFmtId="179" fontId="12" fillId="6" borderId="13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left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176" fontId="19" fillId="0" borderId="5" xfId="0" applyNumberFormat="1" applyFont="1" applyFill="1" applyBorder="1" applyAlignment="1" applyProtection="1">
      <alignment horizontal="center" vertical="center" wrapText="1"/>
    </xf>
    <xf numFmtId="179" fontId="19" fillId="0" borderId="5" xfId="0" applyNumberFormat="1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NumberFormat="1" applyFont="1" applyFill="1" applyBorder="1" applyAlignment="1">
      <alignment horizontal="center" vertical="center" wrapText="1"/>
    </xf>
    <xf numFmtId="179" fontId="12" fillId="6" borderId="1" xfId="0" applyNumberFormat="1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left" vertical="center" wrapText="1"/>
    </xf>
    <xf numFmtId="0" fontId="18" fillId="3" borderId="1" xfId="0" applyNumberFormat="1" applyFont="1" applyFill="1" applyBorder="1" applyAlignment="1" applyProtection="1">
      <alignment horizontal="center" vertical="center" wrapText="1"/>
    </xf>
    <xf numFmtId="0" fontId="18" fillId="3" borderId="14" xfId="0" applyNumberFormat="1" applyFont="1" applyFill="1" applyBorder="1" applyAlignment="1" applyProtection="1">
      <alignment horizontal="center" vertical="center" wrapText="1"/>
    </xf>
    <xf numFmtId="0" fontId="8" fillId="3" borderId="16" xfId="0" applyNumberFormat="1" applyFont="1" applyFill="1" applyBorder="1" applyAlignment="1" applyProtection="1">
      <alignment horizontal="left" vertical="center" wrapText="1"/>
    </xf>
    <xf numFmtId="0" fontId="18" fillId="3" borderId="2" xfId="0" applyNumberFormat="1" applyFont="1" applyFill="1" applyBorder="1" applyAlignment="1" applyProtection="1">
      <alignment horizontal="left" vertical="center" wrapText="1"/>
    </xf>
    <xf numFmtId="0" fontId="18" fillId="3" borderId="2" xfId="0" applyNumberFormat="1" applyFont="1" applyFill="1" applyBorder="1" applyAlignment="1" applyProtection="1">
      <alignment horizontal="center" vertical="center" wrapText="1"/>
    </xf>
    <xf numFmtId="179" fontId="18" fillId="3" borderId="2" xfId="0" applyNumberFormat="1" applyFont="1" applyFill="1" applyBorder="1" applyAlignment="1" applyProtection="1">
      <alignment horizontal="center" vertical="center" wrapText="1"/>
    </xf>
    <xf numFmtId="179" fontId="18" fillId="3" borderId="11" xfId="0" applyNumberFormat="1" applyFont="1" applyFill="1" applyBorder="1" applyAlignment="1" applyProtection="1">
      <alignment horizontal="right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179" fontId="19" fillId="0" borderId="1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left" vertical="center" wrapText="1"/>
    </xf>
    <xf numFmtId="0" fontId="19" fillId="0" borderId="17" xfId="0" applyNumberFormat="1" applyFont="1" applyFill="1" applyBorder="1" applyAlignment="1" applyProtection="1">
      <alignment horizontal="center" vertical="center" wrapText="1"/>
    </xf>
    <xf numFmtId="179" fontId="19" fillId="0" borderId="5" xfId="0" applyNumberFormat="1" applyFont="1" applyFill="1" applyBorder="1" applyAlignment="1" applyProtection="1">
      <alignment horizontal="right" vertical="center" wrapText="1"/>
    </xf>
    <xf numFmtId="177" fontId="18" fillId="0" borderId="0" xfId="0" applyNumberFormat="1" applyFont="1" applyFill="1" applyBorder="1" applyAlignment="1" applyProtection="1">
      <alignment horizontal="left" vertical="center" wrapText="1"/>
    </xf>
    <xf numFmtId="177" fontId="18" fillId="0" borderId="0" xfId="0" applyNumberFormat="1" applyFont="1" applyFill="1" applyBorder="1" applyAlignment="1" applyProtection="1">
      <alignment horizontal="left" wrapText="1"/>
    </xf>
    <xf numFmtId="177" fontId="18" fillId="0" borderId="3" xfId="0" applyNumberFormat="1" applyFont="1" applyFill="1" applyBorder="1" applyAlignment="1" applyProtection="1">
      <alignment horizontal="center" vertical="center" wrapText="1"/>
    </xf>
    <xf numFmtId="177" fontId="18" fillId="0" borderId="6" xfId="0" applyNumberFormat="1" applyFont="1" applyFill="1" applyBorder="1" applyAlignment="1" applyProtection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>
      <alignment horizontal="left" vertical="center" wrapText="1"/>
    </xf>
    <xf numFmtId="177" fontId="7" fillId="3" borderId="0" xfId="0" applyNumberFormat="1" applyFont="1" applyFill="1" applyBorder="1" applyAlignment="1">
      <alignment horizontal="right" vertical="center" wrapText="1"/>
    </xf>
    <xf numFmtId="177" fontId="7" fillId="0" borderId="1" xfId="0" applyNumberFormat="1" applyFont="1" applyFill="1" applyBorder="1" applyAlignment="1">
      <alignment horizontal="left" vertical="center" wrapText="1"/>
    </xf>
    <xf numFmtId="177" fontId="7" fillId="0" borderId="0" xfId="0" applyNumberFormat="1" applyFont="1" applyFill="1" applyBorder="1" applyAlignment="1">
      <alignment horizontal="right" vertical="center" wrapText="1"/>
    </xf>
    <xf numFmtId="177" fontId="10" fillId="0" borderId="1" xfId="0" applyNumberFormat="1" applyFont="1" applyFill="1" applyBorder="1" applyAlignment="1">
      <alignment horizontal="left" vertical="center" wrapText="1"/>
    </xf>
    <xf numFmtId="177" fontId="10" fillId="0" borderId="0" xfId="0" applyNumberFormat="1" applyFont="1" applyFill="1" applyBorder="1" applyAlignment="1">
      <alignment horizontal="right" vertical="center" wrapText="1"/>
    </xf>
    <xf numFmtId="177" fontId="12" fillId="0" borderId="1" xfId="0" applyNumberFormat="1" applyFont="1" applyFill="1" applyBorder="1" applyAlignment="1">
      <alignment horizontal="left" vertical="center" wrapText="1"/>
    </xf>
    <xf numFmtId="177" fontId="20" fillId="0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 applyAlignment="1">
      <alignment horizontal="right" vertical="center" wrapText="1"/>
    </xf>
    <xf numFmtId="177" fontId="18" fillId="3" borderId="1" xfId="0" applyNumberFormat="1" applyFont="1" applyFill="1" applyBorder="1" applyAlignment="1" applyProtection="1">
      <alignment horizontal="left" vertical="center" wrapText="1"/>
    </xf>
    <xf numFmtId="177" fontId="18" fillId="3" borderId="0" xfId="0" applyNumberFormat="1" applyFont="1" applyFill="1" applyAlignment="1" applyProtection="1">
      <alignment horizontal="right" vertical="center" wrapText="1"/>
    </xf>
    <xf numFmtId="177" fontId="19" fillId="0" borderId="1" xfId="0" applyNumberFormat="1" applyFont="1" applyFill="1" applyBorder="1" applyAlignment="1" applyProtection="1">
      <alignment horizontal="left" vertical="center" wrapText="1"/>
    </xf>
    <xf numFmtId="177" fontId="19" fillId="0" borderId="0" xfId="0" applyNumberFormat="1" applyFont="1" applyFill="1" applyAlignment="1" applyProtection="1">
      <alignment horizontal="right" vertical="center" wrapText="1"/>
    </xf>
    <xf numFmtId="177" fontId="21" fillId="0" borderId="0" xfId="0" applyNumberFormat="1" applyFont="1" applyFill="1" applyAlignment="1" applyProtection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177" fontId="19" fillId="0" borderId="0" xfId="0" applyNumberFormat="1" applyFont="1" applyFill="1" applyAlignment="1" applyProtection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177" fontId="22" fillId="0" borderId="0" xfId="0" applyNumberFormat="1" applyFont="1" applyFill="1" applyAlignment="1">
      <alignment vertical="center"/>
    </xf>
    <xf numFmtId="0" fontId="8" fillId="3" borderId="14" xfId="0" applyNumberFormat="1" applyFont="1" applyFill="1" applyBorder="1" applyAlignment="1" applyProtection="1">
      <alignment horizontal="left" vertical="center" wrapText="1"/>
    </xf>
    <xf numFmtId="0" fontId="19" fillId="3" borderId="14" xfId="0" applyNumberFormat="1" applyFont="1" applyFill="1" applyBorder="1" applyAlignment="1" applyProtection="1">
      <alignment horizontal="center" vertical="center" wrapText="1"/>
    </xf>
    <xf numFmtId="0" fontId="19" fillId="3" borderId="1" xfId="0" applyNumberFormat="1" applyFont="1" applyFill="1" applyBorder="1" applyAlignment="1" applyProtection="1">
      <alignment horizontal="center" vertical="center" wrapText="1"/>
    </xf>
    <xf numFmtId="179" fontId="19" fillId="3" borderId="1" xfId="0" applyNumberFormat="1" applyFont="1" applyFill="1" applyBorder="1" applyAlignment="1" applyProtection="1">
      <alignment horizontal="center" vertical="center" wrapText="1"/>
    </xf>
    <xf numFmtId="179" fontId="18" fillId="3" borderId="5" xfId="0" applyNumberFormat="1" applyFont="1" applyFill="1" applyBorder="1" applyAlignment="1" applyProtection="1">
      <alignment horizontal="right" vertical="center" wrapText="1"/>
    </xf>
    <xf numFmtId="177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177" fontId="13" fillId="0" borderId="0" xfId="0" applyNumberFormat="1" applyFont="1" applyFill="1" applyAlignment="1">
      <alignment vertical="center"/>
    </xf>
    <xf numFmtId="180" fontId="19" fillId="0" borderId="0" xfId="0" applyNumberFormat="1" applyFont="1" applyFill="1" applyAlignment="1" applyProtection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179" fontId="24" fillId="3" borderId="1" xfId="0" applyNumberFormat="1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center" vertical="center" wrapText="1"/>
    </xf>
    <xf numFmtId="179" fontId="11" fillId="6" borderId="1" xfId="0" applyNumberFormat="1" applyFont="1" applyFill="1" applyBorder="1" applyAlignment="1">
      <alignment horizontal="center" vertical="center" wrapText="1"/>
    </xf>
    <xf numFmtId="179" fontId="18" fillId="0" borderId="5" xfId="0" applyNumberFormat="1" applyFont="1" applyFill="1" applyBorder="1" applyAlignment="1" applyProtection="1">
      <alignment horizontal="right" vertical="center" wrapText="1"/>
    </xf>
    <xf numFmtId="0" fontId="18" fillId="3" borderId="5" xfId="0" applyNumberFormat="1" applyFont="1" applyFill="1" applyBorder="1" applyAlignment="1" applyProtection="1">
      <alignment horizontal="center" vertical="center" wrapText="1"/>
    </xf>
    <xf numFmtId="0" fontId="18" fillId="3" borderId="17" xfId="0" applyNumberFormat="1" applyFont="1" applyFill="1" applyBorder="1" applyAlignment="1" applyProtection="1">
      <alignment horizontal="center" vertical="center" wrapText="1"/>
    </xf>
    <xf numFmtId="0" fontId="8" fillId="3" borderId="14" xfId="0" applyNumberFormat="1" applyFont="1" applyFill="1" applyBorder="1" applyAlignment="1" applyProtection="1">
      <alignment horizontal="center" vertical="center" wrapText="1"/>
    </xf>
    <xf numFmtId="179" fontId="18" fillId="3" borderId="1" xfId="0" applyNumberFormat="1" applyFont="1" applyFill="1" applyBorder="1" applyAlignment="1" applyProtection="1">
      <alignment horizontal="center" vertical="center" wrapText="1"/>
    </xf>
    <xf numFmtId="179" fontId="19" fillId="3" borderId="5" xfId="0" applyNumberFormat="1" applyFont="1" applyFill="1" applyBorder="1" applyAlignment="1" applyProtection="1">
      <alignment horizontal="right" vertical="center" wrapText="1"/>
    </xf>
    <xf numFmtId="0" fontId="25" fillId="3" borderId="5" xfId="0" applyFont="1" applyFill="1" applyBorder="1" applyAlignment="1">
      <alignment horizontal="center" vertical="center"/>
    </xf>
    <xf numFmtId="0" fontId="25" fillId="3" borderId="17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vertical="center"/>
    </xf>
    <xf numFmtId="9" fontId="25" fillId="3" borderId="1" xfId="0" applyNumberFormat="1" applyFont="1" applyFill="1" applyBorder="1" applyAlignment="1">
      <alignment horizontal="center" vertical="center"/>
    </xf>
    <xf numFmtId="9" fontId="8" fillId="3" borderId="1" xfId="0" applyNumberFormat="1" applyFont="1" applyFill="1" applyBorder="1" applyAlignment="1">
      <alignment horizontal="center" vertical="center"/>
    </xf>
    <xf numFmtId="179" fontId="25" fillId="3" borderId="1" xfId="0" applyNumberFormat="1" applyFont="1" applyFill="1" applyBorder="1" applyAlignment="1">
      <alignment horizontal="center" vertical="center"/>
    </xf>
    <xf numFmtId="0" fontId="25" fillId="3" borderId="14" xfId="0" applyFont="1" applyFill="1" applyBorder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 applyProtection="1">
      <alignment horizontal="left" vertical="center" wrapText="1"/>
    </xf>
    <xf numFmtId="177" fontId="18" fillId="0" borderId="0" xfId="0" applyNumberFormat="1" applyFont="1" applyFill="1" applyAlignment="1" applyProtection="1">
      <alignment horizontal="right" vertical="center" wrapText="1"/>
    </xf>
    <xf numFmtId="177" fontId="19" fillId="3" borderId="1" xfId="0" applyNumberFormat="1" applyFont="1" applyFill="1" applyBorder="1" applyAlignment="1" applyProtection="1">
      <alignment horizontal="left" vertical="center" wrapText="1"/>
    </xf>
    <xf numFmtId="177" fontId="19" fillId="3" borderId="0" xfId="0" applyNumberFormat="1" applyFont="1" applyFill="1" applyBorder="1" applyAlignment="1" applyProtection="1">
      <alignment horizontal="right" vertical="center" wrapText="1"/>
    </xf>
    <xf numFmtId="177" fontId="26" fillId="3" borderId="1" xfId="0" applyNumberFormat="1" applyFont="1" applyFill="1" applyBorder="1" applyAlignment="1">
      <alignment horizontal="left" vertical="center"/>
    </xf>
    <xf numFmtId="177" fontId="26" fillId="3" borderId="0" xfId="0" applyNumberFormat="1" applyFont="1" applyFill="1" applyBorder="1" applyAlignment="1">
      <alignment horizontal="right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226695</xdr:colOff>
      <xdr:row>11</xdr:row>
      <xdr:rowOff>156210</xdr:rowOff>
    </xdr:from>
    <xdr:to>
      <xdr:col>16</xdr:col>
      <xdr:colOff>66675</xdr:colOff>
      <xdr:row>12</xdr:row>
      <xdr:rowOff>3175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170545" y="4371975"/>
          <a:ext cx="4678680" cy="31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R156"/>
  <sheetViews>
    <sheetView view="pageBreakPreview" zoomScaleNormal="100" workbookViewId="0">
      <pane ySplit="5" topLeftCell="A90" activePane="bottomLeft" state="frozen"/>
      <selection/>
      <selection pane="bottomLeft" activeCell="G28" sqref="G28"/>
    </sheetView>
  </sheetViews>
  <sheetFormatPr defaultColWidth="11.0333333333333" defaultRowHeight="13.5"/>
  <cols>
    <col min="1" max="1" width="6.66666666666667" style="44" customWidth="1"/>
    <col min="2" max="2" width="19.3444444444444" style="44" customWidth="1"/>
    <col min="3" max="3" width="31.8333333333333" style="49" customWidth="1"/>
    <col min="4" max="4" width="32.3333333333333" style="44" customWidth="1"/>
    <col min="5" max="5" width="8.44444444444444" style="50" customWidth="1"/>
    <col min="6" max="6" width="9.66666666666667" style="50" customWidth="1"/>
    <col min="7" max="7" width="14.1666666666667" style="50" customWidth="1"/>
    <col min="8" max="8" width="17.3333333333333" style="51" customWidth="1"/>
    <col min="9" max="9" width="32.1666666666667" style="52" customWidth="1"/>
    <col min="10" max="11" width="13.6666666666667" style="51" customWidth="1"/>
    <col min="12" max="12" width="11.0333333333333" style="44" customWidth="1"/>
    <col min="13" max="13" width="13.5" style="44" customWidth="1"/>
    <col min="14" max="14" width="11.0333333333333" style="44" customWidth="1"/>
    <col min="15" max="15" width="24.5" style="44" customWidth="1"/>
    <col min="16" max="16" width="17.3333333333333" style="44" customWidth="1"/>
    <col min="17" max="17" width="14.1666666666667" style="44" customWidth="1"/>
    <col min="18" max="18" width="11.0333333333333" style="44" customWidth="1"/>
    <col min="19" max="16384" width="11.0333333333333" style="44"/>
  </cols>
  <sheetData>
    <row r="1" s="44" customFormat="1" ht="22" customHeight="1" spans="1:11">
      <c r="A1" s="53" t="s">
        <v>0</v>
      </c>
      <c r="B1" s="53"/>
      <c r="C1" s="54"/>
      <c r="D1" s="53"/>
      <c r="E1" s="53"/>
      <c r="F1" s="53"/>
      <c r="G1" s="53"/>
      <c r="H1" s="55"/>
      <c r="I1" s="128"/>
      <c r="J1" s="55"/>
      <c r="K1" s="55"/>
    </row>
    <row r="2" s="44" customFormat="1" ht="17" customHeight="1" spans="1:11">
      <c r="A2" s="53"/>
      <c r="B2" s="53"/>
      <c r="C2" s="54"/>
      <c r="D2" s="53"/>
      <c r="E2" s="53"/>
      <c r="F2" s="53"/>
      <c r="G2" s="53"/>
      <c r="H2" s="55"/>
      <c r="I2" s="128"/>
      <c r="J2" s="55"/>
      <c r="K2" s="55"/>
    </row>
    <row r="3" s="45" customFormat="1" ht="21" customHeight="1" spans="1:11">
      <c r="A3" s="56" t="s">
        <v>1</v>
      </c>
      <c r="B3" s="56"/>
      <c r="C3" s="57"/>
      <c r="D3" s="58"/>
      <c r="E3" s="59"/>
      <c r="F3" s="59"/>
      <c r="G3" s="59"/>
      <c r="H3" s="60"/>
      <c r="I3" s="129"/>
      <c r="J3" s="60"/>
      <c r="K3" s="60"/>
    </row>
    <row r="4" s="45" customFormat="1" ht="29" customHeight="1" spans="1:11">
      <c r="A4" s="61" t="s">
        <v>2</v>
      </c>
      <c r="B4" s="62" t="s">
        <v>3</v>
      </c>
      <c r="C4" s="63" t="s">
        <v>4</v>
      </c>
      <c r="D4" s="61" t="s">
        <v>5</v>
      </c>
      <c r="E4" s="61" t="s">
        <v>6</v>
      </c>
      <c r="F4" s="61" t="s">
        <v>7</v>
      </c>
      <c r="G4" s="64" t="s">
        <v>8</v>
      </c>
      <c r="H4" s="65" t="s">
        <v>9</v>
      </c>
      <c r="I4" s="130" t="s">
        <v>10</v>
      </c>
      <c r="J4" s="60"/>
      <c r="K4" s="60"/>
    </row>
    <row r="5" s="44" customFormat="1" ht="29" customHeight="1" spans="1:11">
      <c r="A5" s="61"/>
      <c r="B5" s="66"/>
      <c r="C5" s="63"/>
      <c r="D5" s="61"/>
      <c r="E5" s="61"/>
      <c r="F5" s="61"/>
      <c r="G5" s="67"/>
      <c r="H5" s="65"/>
      <c r="I5" s="131"/>
      <c r="J5" s="132"/>
      <c r="K5" s="132"/>
    </row>
    <row r="6" s="44" customFormat="1" ht="25" customHeight="1" spans="1:11">
      <c r="A6" s="68" t="s">
        <v>11</v>
      </c>
      <c r="B6" s="69"/>
      <c r="C6" s="70" t="s">
        <v>12</v>
      </c>
      <c r="D6" s="71" t="s">
        <v>13</v>
      </c>
      <c r="E6" s="72" t="s">
        <v>13</v>
      </c>
      <c r="F6" s="73" t="s">
        <v>13</v>
      </c>
      <c r="G6" s="74"/>
      <c r="H6" s="75">
        <f>SUM(H7:H35)</f>
        <v>121107.62</v>
      </c>
      <c r="I6" s="133"/>
      <c r="J6" s="134"/>
      <c r="K6" s="134"/>
    </row>
    <row r="7" s="44" customFormat="1" ht="25" customHeight="1" outlineLevel="1" spans="1:11">
      <c r="A7" s="18"/>
      <c r="B7" s="76"/>
      <c r="C7" s="77" t="s">
        <v>14</v>
      </c>
      <c r="D7" s="78"/>
      <c r="E7" s="79"/>
      <c r="F7" s="80"/>
      <c r="G7" s="80"/>
      <c r="H7" s="81"/>
      <c r="I7" s="135"/>
      <c r="J7" s="136"/>
      <c r="K7" s="136"/>
    </row>
    <row r="8" s="44" customFormat="1" ht="51" customHeight="1" outlineLevel="1" spans="1:11">
      <c r="A8" s="82">
        <v>1</v>
      </c>
      <c r="B8" s="83"/>
      <c r="C8" s="84" t="s">
        <v>15</v>
      </c>
      <c r="D8" s="78" t="s">
        <v>16</v>
      </c>
      <c r="E8" s="79" t="s">
        <v>17</v>
      </c>
      <c r="F8" s="85">
        <v>2797</v>
      </c>
      <c r="G8" s="86"/>
      <c r="H8" s="87">
        <f t="shared" ref="H8:H10" si="0">ROUND(G8*F8,2)</f>
        <v>0</v>
      </c>
      <c r="I8" s="137"/>
      <c r="J8" s="138"/>
      <c r="K8" s="138"/>
    </row>
    <row r="9" s="44" customFormat="1" ht="42" customHeight="1" outlineLevel="1" spans="1:11">
      <c r="A9" s="82">
        <v>2</v>
      </c>
      <c r="B9" s="83"/>
      <c r="C9" s="84" t="s">
        <v>18</v>
      </c>
      <c r="D9" s="78" t="s">
        <v>19</v>
      </c>
      <c r="E9" s="79" t="s">
        <v>20</v>
      </c>
      <c r="F9" s="85">
        <v>431.44</v>
      </c>
      <c r="G9" s="86"/>
      <c r="H9" s="87">
        <f t="shared" si="0"/>
        <v>0</v>
      </c>
      <c r="I9" s="137"/>
      <c r="J9" s="138"/>
      <c r="K9" s="138"/>
    </row>
    <row r="10" s="44" customFormat="1" ht="40" customHeight="1" outlineLevel="1" spans="1:11">
      <c r="A10" s="82">
        <v>3</v>
      </c>
      <c r="B10" s="83"/>
      <c r="C10" s="84" t="s">
        <v>21</v>
      </c>
      <c r="D10" s="78" t="s">
        <v>22</v>
      </c>
      <c r="E10" s="79" t="s">
        <v>20</v>
      </c>
      <c r="F10" s="85">
        <v>2141.62</v>
      </c>
      <c r="G10" s="86"/>
      <c r="H10" s="87">
        <f t="shared" si="0"/>
        <v>0</v>
      </c>
      <c r="I10" s="137"/>
      <c r="J10" s="138"/>
      <c r="K10" s="138"/>
    </row>
    <row r="11" s="44" customFormat="1" ht="25" customHeight="1" outlineLevel="1" spans="1:11">
      <c r="A11" s="82" t="s">
        <v>13</v>
      </c>
      <c r="B11" s="83"/>
      <c r="C11" s="77" t="s">
        <v>23</v>
      </c>
      <c r="D11" s="78" t="s">
        <v>13</v>
      </c>
      <c r="E11" s="79" t="s">
        <v>13</v>
      </c>
      <c r="F11" s="88" t="s">
        <v>13</v>
      </c>
      <c r="G11" s="86"/>
      <c r="H11" s="87"/>
      <c r="I11" s="137"/>
      <c r="J11" s="138"/>
      <c r="K11" s="138"/>
    </row>
    <row r="12" s="44" customFormat="1" ht="97" customHeight="1" outlineLevel="1" spans="1:11">
      <c r="A12" s="82">
        <v>4</v>
      </c>
      <c r="B12" s="83"/>
      <c r="C12" s="84" t="s">
        <v>24</v>
      </c>
      <c r="D12" s="78" t="s">
        <v>25</v>
      </c>
      <c r="E12" s="79" t="s">
        <v>17</v>
      </c>
      <c r="F12" s="85">
        <v>2560</v>
      </c>
      <c r="G12" s="86">
        <f>65*0</f>
        <v>0</v>
      </c>
      <c r="H12" s="87">
        <f t="shared" ref="H12:H18" si="1">ROUND(G12*F12,2)</f>
        <v>0</v>
      </c>
      <c r="I12" s="137"/>
      <c r="J12" s="138"/>
      <c r="K12" s="138"/>
    </row>
    <row r="13" s="44" customFormat="1" ht="49" customHeight="1" outlineLevel="1" spans="1:11">
      <c r="A13" s="82">
        <v>5</v>
      </c>
      <c r="B13" s="83"/>
      <c r="C13" s="84" t="s">
        <v>26</v>
      </c>
      <c r="D13" s="78" t="s">
        <v>27</v>
      </c>
      <c r="E13" s="79" t="s">
        <v>17</v>
      </c>
      <c r="F13" s="85">
        <f t="shared" ref="F13:F16" si="2">F12</f>
        <v>2560</v>
      </c>
      <c r="G13" s="86">
        <f t="shared" ref="G13:G16" si="3">4*0</f>
        <v>0</v>
      </c>
      <c r="H13" s="87">
        <f t="shared" si="1"/>
        <v>0</v>
      </c>
      <c r="I13" s="137"/>
      <c r="J13" s="138"/>
      <c r="K13" s="138"/>
    </row>
    <row r="14" s="44" customFormat="1" ht="71" customHeight="1" outlineLevel="1" spans="1:11">
      <c r="A14" s="82">
        <v>6</v>
      </c>
      <c r="B14" s="83"/>
      <c r="C14" s="84" t="s">
        <v>28</v>
      </c>
      <c r="D14" s="78" t="s">
        <v>29</v>
      </c>
      <c r="E14" s="79" t="s">
        <v>17</v>
      </c>
      <c r="F14" s="85">
        <f t="shared" si="2"/>
        <v>2560</v>
      </c>
      <c r="G14" s="86">
        <f>59*0</f>
        <v>0</v>
      </c>
      <c r="H14" s="87">
        <f t="shared" si="1"/>
        <v>0</v>
      </c>
      <c r="I14" s="137"/>
      <c r="J14" s="138"/>
      <c r="K14" s="138"/>
    </row>
    <row r="15" s="44" customFormat="1" ht="49" customHeight="1" outlineLevel="1" spans="1:11">
      <c r="A15" s="82">
        <v>7</v>
      </c>
      <c r="B15" s="83"/>
      <c r="C15" s="84" t="s">
        <v>30</v>
      </c>
      <c r="D15" s="78" t="s">
        <v>31</v>
      </c>
      <c r="E15" s="79" t="s">
        <v>17</v>
      </c>
      <c r="F15" s="85">
        <f t="shared" si="2"/>
        <v>2560</v>
      </c>
      <c r="G15" s="86">
        <f t="shared" si="3"/>
        <v>0</v>
      </c>
      <c r="H15" s="87">
        <f t="shared" si="1"/>
        <v>0</v>
      </c>
      <c r="I15" s="137"/>
      <c r="J15" s="138"/>
      <c r="K15" s="138"/>
    </row>
    <row r="16" s="44" customFormat="1" ht="42" customHeight="1" outlineLevel="1" spans="1:11">
      <c r="A16" s="82">
        <v>8</v>
      </c>
      <c r="B16" s="83"/>
      <c r="C16" s="84" t="s">
        <v>32</v>
      </c>
      <c r="D16" s="78" t="s">
        <v>33</v>
      </c>
      <c r="E16" s="79" t="s">
        <v>17</v>
      </c>
      <c r="F16" s="85">
        <f t="shared" si="2"/>
        <v>2560</v>
      </c>
      <c r="G16" s="86">
        <f t="shared" si="3"/>
        <v>0</v>
      </c>
      <c r="H16" s="87">
        <f t="shared" si="1"/>
        <v>0</v>
      </c>
      <c r="I16" s="137"/>
      <c r="J16" s="138"/>
      <c r="K16" s="138"/>
    </row>
    <row r="17" s="46" customFormat="1" ht="45" outlineLevel="1" spans="1:11">
      <c r="A17" s="82">
        <v>9</v>
      </c>
      <c r="B17" s="83" t="s">
        <v>34</v>
      </c>
      <c r="C17" s="89" t="s">
        <v>35</v>
      </c>
      <c r="D17" s="78" t="s">
        <v>36</v>
      </c>
      <c r="E17" s="79" t="s">
        <v>17</v>
      </c>
      <c r="F17" s="85">
        <v>2700</v>
      </c>
      <c r="G17" s="86">
        <v>6</v>
      </c>
      <c r="H17" s="87">
        <f t="shared" si="1"/>
        <v>16200</v>
      </c>
      <c r="I17" s="137" t="s">
        <v>37</v>
      </c>
      <c r="J17" s="138"/>
      <c r="K17" s="138"/>
    </row>
    <row r="18" s="44" customFormat="1" ht="45" outlineLevel="1" spans="1:11">
      <c r="A18" s="82">
        <v>10</v>
      </c>
      <c r="B18" s="83" t="s">
        <v>38</v>
      </c>
      <c r="C18" s="89" t="s">
        <v>39</v>
      </c>
      <c r="D18" s="78" t="s">
        <v>40</v>
      </c>
      <c r="E18" s="79" t="s">
        <v>17</v>
      </c>
      <c r="F18" s="85">
        <v>2816</v>
      </c>
      <c r="G18" s="86">
        <v>3.2</v>
      </c>
      <c r="H18" s="87">
        <f t="shared" si="1"/>
        <v>9011.2</v>
      </c>
      <c r="I18" s="137" t="str">
        <f>I17</f>
        <v>人工配合机械摊铺、整型、碾压、初期养护</v>
      </c>
      <c r="J18" s="138"/>
      <c r="K18" s="138"/>
    </row>
    <row r="19" s="44" customFormat="1" ht="25" customHeight="1" outlineLevel="1" spans="1:11">
      <c r="A19" s="82" t="s">
        <v>13</v>
      </c>
      <c r="B19" s="83"/>
      <c r="C19" s="77" t="s">
        <v>41</v>
      </c>
      <c r="D19" s="78"/>
      <c r="E19" s="79" t="s">
        <v>13</v>
      </c>
      <c r="F19" s="88" t="s">
        <v>13</v>
      </c>
      <c r="G19" s="86"/>
      <c r="H19" s="87"/>
      <c r="I19" s="137"/>
      <c r="J19" s="138"/>
      <c r="K19" s="138"/>
    </row>
    <row r="20" s="44" customFormat="1" ht="39" customHeight="1" outlineLevel="1" spans="1:11">
      <c r="A20" s="82">
        <v>11</v>
      </c>
      <c r="B20" s="83" t="s">
        <v>42</v>
      </c>
      <c r="C20" s="89" t="s">
        <v>43</v>
      </c>
      <c r="D20" s="78" t="s">
        <v>44</v>
      </c>
      <c r="E20" s="79" t="s">
        <v>20</v>
      </c>
      <c r="F20" s="85">
        <v>27.18</v>
      </c>
      <c r="G20" s="86">
        <v>215</v>
      </c>
      <c r="H20" s="87">
        <f t="shared" ref="H20:H23" si="4">ROUND(G20*F20,2)</f>
        <v>5843.7</v>
      </c>
      <c r="I20" s="137" t="s">
        <v>45</v>
      </c>
      <c r="J20" s="138"/>
      <c r="K20" s="138"/>
    </row>
    <row r="21" s="44" customFormat="1" ht="45" outlineLevel="1" spans="1:11">
      <c r="A21" s="82">
        <v>12</v>
      </c>
      <c r="B21" s="83" t="s">
        <v>46</v>
      </c>
      <c r="C21" s="89" t="s">
        <v>47</v>
      </c>
      <c r="D21" s="78" t="s">
        <v>48</v>
      </c>
      <c r="E21" s="79" t="s">
        <v>49</v>
      </c>
      <c r="F21" s="85">
        <f>849+48.11</f>
        <v>897.11</v>
      </c>
      <c r="G21" s="86">
        <v>12</v>
      </c>
      <c r="H21" s="87">
        <f t="shared" si="4"/>
        <v>10765.32</v>
      </c>
      <c r="I21" s="137" t="s">
        <v>50</v>
      </c>
      <c r="J21" s="138"/>
      <c r="K21" s="138"/>
    </row>
    <row r="22" s="44" customFormat="1" ht="68" customHeight="1" outlineLevel="1" spans="1:11">
      <c r="A22" s="82">
        <v>13</v>
      </c>
      <c r="B22" s="83" t="s">
        <v>51</v>
      </c>
      <c r="C22" s="89" t="s">
        <v>52</v>
      </c>
      <c r="D22" s="78" t="s">
        <v>53</v>
      </c>
      <c r="E22" s="79" t="s">
        <v>17</v>
      </c>
      <c r="F22" s="85">
        <v>1952.7</v>
      </c>
      <c r="G22" s="86">
        <v>4</v>
      </c>
      <c r="H22" s="87">
        <f t="shared" si="4"/>
        <v>7810.8</v>
      </c>
      <c r="I22" s="137" t="s">
        <v>54</v>
      </c>
      <c r="J22" s="138"/>
      <c r="K22" s="138"/>
    </row>
    <row r="23" s="44" customFormat="1" ht="39" customHeight="1" outlineLevel="1" spans="1:11">
      <c r="A23" s="82">
        <v>15</v>
      </c>
      <c r="B23" s="83" t="s">
        <v>55</v>
      </c>
      <c r="C23" s="89" t="s">
        <v>56</v>
      </c>
      <c r="D23" s="78" t="s">
        <v>57</v>
      </c>
      <c r="E23" s="79" t="s">
        <v>20</v>
      </c>
      <c r="F23" s="85">
        <v>33.96</v>
      </c>
      <c r="G23" s="86">
        <v>40</v>
      </c>
      <c r="H23" s="87">
        <f t="shared" si="4"/>
        <v>1358.4</v>
      </c>
      <c r="I23" s="137" t="s">
        <v>37</v>
      </c>
      <c r="J23" s="138"/>
      <c r="K23" s="138"/>
    </row>
    <row r="24" s="44" customFormat="1" ht="25" customHeight="1" outlineLevel="1" spans="1:11">
      <c r="A24" s="82" t="s">
        <v>13</v>
      </c>
      <c r="B24" s="83"/>
      <c r="C24" s="77" t="s">
        <v>58</v>
      </c>
      <c r="D24" s="78" t="s">
        <v>13</v>
      </c>
      <c r="E24" s="79" t="s">
        <v>13</v>
      </c>
      <c r="F24" s="88" t="s">
        <v>13</v>
      </c>
      <c r="G24" s="86"/>
      <c r="H24" s="87"/>
      <c r="I24" s="137"/>
      <c r="J24" s="138"/>
      <c r="K24" s="138"/>
    </row>
    <row r="25" s="44" customFormat="1" ht="45" outlineLevel="1" spans="1:11">
      <c r="A25" s="82">
        <v>16</v>
      </c>
      <c r="B25" s="83" t="s">
        <v>59</v>
      </c>
      <c r="C25" s="89" t="s">
        <v>60</v>
      </c>
      <c r="D25" s="78" t="s">
        <v>61</v>
      </c>
      <c r="E25" s="79" t="s">
        <v>17</v>
      </c>
      <c r="F25" s="85">
        <v>822</v>
      </c>
      <c r="G25" s="86">
        <f>20*0.02</f>
        <v>0.4</v>
      </c>
      <c r="H25" s="87">
        <f t="shared" ref="H25:H35" si="5">ROUND(G25*F25,2)</f>
        <v>328.8</v>
      </c>
      <c r="I25" s="137" t="s">
        <v>62</v>
      </c>
      <c r="J25" s="138"/>
      <c r="K25" s="138"/>
    </row>
    <row r="26" s="47" customFormat="1" ht="56.25" outlineLevel="1" spans="1:11">
      <c r="A26" s="82">
        <v>17</v>
      </c>
      <c r="B26" s="83"/>
      <c r="C26" s="84" t="s">
        <v>63</v>
      </c>
      <c r="D26" s="78" t="s">
        <v>64</v>
      </c>
      <c r="E26" s="79" t="s">
        <v>17</v>
      </c>
      <c r="F26" s="85">
        <v>822</v>
      </c>
      <c r="G26" s="86"/>
      <c r="H26" s="87">
        <f t="shared" si="5"/>
        <v>0</v>
      </c>
      <c r="I26" s="137"/>
      <c r="J26" s="138"/>
      <c r="K26" s="138"/>
    </row>
    <row r="27" s="47" customFormat="1" ht="45" outlineLevel="1" spans="1:11">
      <c r="A27" s="82">
        <v>18</v>
      </c>
      <c r="B27" s="83" t="s">
        <v>55</v>
      </c>
      <c r="C27" s="89" t="s">
        <v>65</v>
      </c>
      <c r="D27" s="78" t="s">
        <v>66</v>
      </c>
      <c r="E27" s="79" t="s">
        <v>17</v>
      </c>
      <c r="F27" s="85">
        <v>863.1</v>
      </c>
      <c r="G27" s="86">
        <v>4</v>
      </c>
      <c r="H27" s="87">
        <f t="shared" si="5"/>
        <v>3452.4</v>
      </c>
      <c r="I27" s="137" t="str">
        <f>I23</f>
        <v>人工配合机械摊铺、整型、碾压、初期养护</v>
      </c>
      <c r="J27" s="138"/>
      <c r="K27" s="138"/>
    </row>
    <row r="28" s="47" customFormat="1" ht="45" outlineLevel="1" spans="1:11">
      <c r="A28" s="82">
        <v>19</v>
      </c>
      <c r="B28" s="90" t="s">
        <v>67</v>
      </c>
      <c r="C28" s="89" t="s">
        <v>68</v>
      </c>
      <c r="D28" s="89" t="s">
        <v>69</v>
      </c>
      <c r="E28" s="91" t="s">
        <v>70</v>
      </c>
      <c r="F28" s="92">
        <v>12</v>
      </c>
      <c r="G28" s="93">
        <v>8</v>
      </c>
      <c r="H28" s="94">
        <f t="shared" si="5"/>
        <v>96</v>
      </c>
      <c r="I28" s="139" t="s">
        <v>71</v>
      </c>
      <c r="J28" s="140"/>
      <c r="K28" s="140"/>
    </row>
    <row r="29" s="44" customFormat="1" ht="75" customHeight="1" outlineLevel="1" spans="1:11">
      <c r="A29" s="82">
        <v>20</v>
      </c>
      <c r="B29" s="95" t="s">
        <v>72</v>
      </c>
      <c r="C29" s="96" t="s">
        <v>73</v>
      </c>
      <c r="D29" s="96" t="s">
        <v>74</v>
      </c>
      <c r="E29" s="97" t="s">
        <v>49</v>
      </c>
      <c r="F29" s="98">
        <v>302</v>
      </c>
      <c r="G29" s="99">
        <v>20</v>
      </c>
      <c r="H29" s="87">
        <f t="shared" si="5"/>
        <v>6040</v>
      </c>
      <c r="I29" s="137" t="s">
        <v>75</v>
      </c>
      <c r="J29" s="138"/>
      <c r="K29" s="138"/>
    </row>
    <row r="30" s="44" customFormat="1" ht="77" customHeight="1" outlineLevel="1" spans="1:11">
      <c r="A30" s="82">
        <v>21</v>
      </c>
      <c r="B30" s="95" t="s">
        <v>72</v>
      </c>
      <c r="C30" s="96" t="s">
        <v>76</v>
      </c>
      <c r="D30" s="96" t="s">
        <v>77</v>
      </c>
      <c r="E30" s="97" t="s">
        <v>49</v>
      </c>
      <c r="F30" s="98">
        <v>547</v>
      </c>
      <c r="G30" s="99">
        <v>20</v>
      </c>
      <c r="H30" s="87">
        <f t="shared" si="5"/>
        <v>10940</v>
      </c>
      <c r="I30" s="137" t="s">
        <v>75</v>
      </c>
      <c r="J30" s="138"/>
      <c r="K30" s="138"/>
    </row>
    <row r="31" s="44" customFormat="1" ht="39" customHeight="1" outlineLevel="1" spans="1:11">
      <c r="A31" s="82">
        <v>22</v>
      </c>
      <c r="B31" s="100"/>
      <c r="C31" s="101" t="s">
        <v>78</v>
      </c>
      <c r="D31" s="96" t="s">
        <v>79</v>
      </c>
      <c r="E31" s="97" t="s">
        <v>80</v>
      </c>
      <c r="F31" s="98">
        <v>3</v>
      </c>
      <c r="G31" s="99">
        <v>12</v>
      </c>
      <c r="H31" s="87">
        <f t="shared" si="5"/>
        <v>36</v>
      </c>
      <c r="I31" s="137" t="s">
        <v>81</v>
      </c>
      <c r="J31" s="138"/>
      <c r="K31" s="138"/>
    </row>
    <row r="32" s="44" customFormat="1" ht="25" customHeight="1" outlineLevel="1" spans="1:11">
      <c r="A32" s="82"/>
      <c r="B32" s="82"/>
      <c r="C32" s="102" t="s">
        <v>82</v>
      </c>
      <c r="D32" s="103"/>
      <c r="E32" s="104"/>
      <c r="F32" s="105"/>
      <c r="G32" s="106"/>
      <c r="H32" s="87">
        <f t="shared" si="5"/>
        <v>0</v>
      </c>
      <c r="I32" s="137"/>
      <c r="J32" s="138"/>
      <c r="K32" s="138"/>
    </row>
    <row r="33" s="44" customFormat="1" ht="146.25" outlineLevel="1" spans="1:11">
      <c r="A33" s="100">
        <v>23</v>
      </c>
      <c r="B33" s="107" t="s">
        <v>83</v>
      </c>
      <c r="C33" s="96" t="s">
        <v>84</v>
      </c>
      <c r="D33" s="96" t="s">
        <v>85</v>
      </c>
      <c r="E33" s="97" t="s">
        <v>49</v>
      </c>
      <c r="F33" s="98">
        <v>895</v>
      </c>
      <c r="G33" s="99">
        <v>55</v>
      </c>
      <c r="H33" s="87">
        <f t="shared" si="5"/>
        <v>49225</v>
      </c>
      <c r="I33" s="137" t="s">
        <v>86</v>
      </c>
      <c r="J33" s="138"/>
      <c r="K33" s="138"/>
    </row>
    <row r="34" s="48" customFormat="1" ht="25" customHeight="1" outlineLevel="1" spans="1:11">
      <c r="A34" s="100"/>
      <c r="B34" s="108"/>
      <c r="C34" s="109" t="s">
        <v>87</v>
      </c>
      <c r="D34" s="110"/>
      <c r="E34" s="100"/>
      <c r="F34" s="111"/>
      <c r="G34" s="112"/>
      <c r="H34" s="87">
        <f t="shared" si="5"/>
        <v>0</v>
      </c>
      <c r="I34" s="137"/>
      <c r="J34" s="141"/>
      <c r="K34" s="141"/>
    </row>
    <row r="35" s="48" customFormat="1" ht="40" customHeight="1" outlineLevel="1" spans="1:11">
      <c r="A35" s="100">
        <v>24</v>
      </c>
      <c r="B35" s="108"/>
      <c r="C35" s="113" t="s">
        <v>88</v>
      </c>
      <c r="D35" s="110" t="s">
        <v>89</v>
      </c>
      <c r="E35" s="100" t="s">
        <v>17</v>
      </c>
      <c r="F35" s="111">
        <v>1188</v>
      </c>
      <c r="G35" s="112"/>
      <c r="H35" s="87">
        <f t="shared" si="5"/>
        <v>0</v>
      </c>
      <c r="I35" s="137"/>
      <c r="J35" s="141"/>
      <c r="K35" s="141"/>
    </row>
    <row r="36" s="48" customFormat="1" ht="25" customHeight="1" spans="1:11">
      <c r="A36" s="114" t="s">
        <v>90</v>
      </c>
      <c r="B36" s="115"/>
      <c r="C36" s="116" t="s">
        <v>91</v>
      </c>
      <c r="D36" s="117"/>
      <c r="E36" s="118"/>
      <c r="F36" s="118"/>
      <c r="G36" s="119"/>
      <c r="H36" s="120">
        <f>SUM(H37:H48)</f>
        <v>2005.8</v>
      </c>
      <c r="I36" s="142"/>
      <c r="J36" s="143"/>
      <c r="K36" s="143"/>
    </row>
    <row r="37" s="48" customFormat="1" ht="41" customHeight="1" outlineLevel="1" spans="1:11">
      <c r="A37" s="104" t="s">
        <v>92</v>
      </c>
      <c r="B37" s="121"/>
      <c r="C37" s="122" t="s">
        <v>93</v>
      </c>
      <c r="D37" s="123" t="s">
        <v>94</v>
      </c>
      <c r="E37" s="104" t="s">
        <v>17</v>
      </c>
      <c r="F37" s="104">
        <v>175.7</v>
      </c>
      <c r="G37" s="124">
        <v>0</v>
      </c>
      <c r="H37" s="87">
        <f t="shared" ref="H37:H48" si="6">ROUND(G37*F37,2)</f>
        <v>0</v>
      </c>
      <c r="I37" s="144"/>
      <c r="J37" s="145"/>
      <c r="K37" s="145"/>
    </row>
    <row r="38" s="48" customFormat="1" ht="73" customHeight="1" outlineLevel="1" spans="1:11">
      <c r="A38" s="104" t="s">
        <v>95</v>
      </c>
      <c r="B38" s="121"/>
      <c r="C38" s="125" t="s">
        <v>96</v>
      </c>
      <c r="D38" s="123" t="s">
        <v>97</v>
      </c>
      <c r="E38" s="104" t="s">
        <v>98</v>
      </c>
      <c r="F38" s="104">
        <v>1</v>
      </c>
      <c r="G38" s="124">
        <v>32</v>
      </c>
      <c r="H38" s="87">
        <f t="shared" si="6"/>
        <v>32</v>
      </c>
      <c r="I38" s="144" t="s">
        <v>99</v>
      </c>
      <c r="J38" s="145"/>
      <c r="K38" s="145"/>
    </row>
    <row r="39" s="48" customFormat="1" ht="73" customHeight="1" outlineLevel="1" spans="1:11">
      <c r="A39" s="104" t="s">
        <v>100</v>
      </c>
      <c r="B39" s="121"/>
      <c r="C39" s="125" t="s">
        <v>96</v>
      </c>
      <c r="D39" s="123" t="s">
        <v>101</v>
      </c>
      <c r="E39" s="104" t="s">
        <v>98</v>
      </c>
      <c r="F39" s="104">
        <v>1</v>
      </c>
      <c r="G39" s="124">
        <f t="shared" ref="G39:G41" si="7">G38</f>
        <v>32</v>
      </c>
      <c r="H39" s="87">
        <f t="shared" si="6"/>
        <v>32</v>
      </c>
      <c r="I39" s="144" t="str">
        <f t="shared" ref="I39:I41" si="8">I38</f>
        <v>面板安装、固定等全过程</v>
      </c>
      <c r="J39" s="145"/>
      <c r="K39" s="145"/>
    </row>
    <row r="40" s="48" customFormat="1" ht="73" customHeight="1" outlineLevel="1" spans="1:11">
      <c r="A40" s="104" t="s">
        <v>102</v>
      </c>
      <c r="B40" s="121"/>
      <c r="C40" s="125" t="s">
        <v>96</v>
      </c>
      <c r="D40" s="123" t="s">
        <v>103</v>
      </c>
      <c r="E40" s="104" t="s">
        <v>98</v>
      </c>
      <c r="F40" s="104">
        <v>1</v>
      </c>
      <c r="G40" s="124">
        <f t="shared" si="7"/>
        <v>32</v>
      </c>
      <c r="H40" s="87">
        <f t="shared" si="6"/>
        <v>32</v>
      </c>
      <c r="I40" s="144" t="str">
        <f t="shared" si="8"/>
        <v>面板安装、固定等全过程</v>
      </c>
      <c r="J40" s="145"/>
      <c r="K40" s="145"/>
    </row>
    <row r="41" s="48" customFormat="1" ht="73" customHeight="1" outlineLevel="1" spans="1:11">
      <c r="A41" s="104" t="s">
        <v>104</v>
      </c>
      <c r="B41" s="121"/>
      <c r="C41" s="125" t="s">
        <v>96</v>
      </c>
      <c r="D41" s="123" t="s">
        <v>105</v>
      </c>
      <c r="E41" s="104" t="s">
        <v>98</v>
      </c>
      <c r="F41" s="104">
        <v>1</v>
      </c>
      <c r="G41" s="124">
        <f t="shared" si="7"/>
        <v>32</v>
      </c>
      <c r="H41" s="87">
        <f t="shared" si="6"/>
        <v>32</v>
      </c>
      <c r="I41" s="144" t="str">
        <f t="shared" si="8"/>
        <v>面板安装、固定等全过程</v>
      </c>
      <c r="J41" s="145"/>
      <c r="K41" s="145"/>
    </row>
    <row r="42" s="48" customFormat="1" ht="102" customHeight="1" outlineLevel="1" spans="1:11">
      <c r="A42" s="104" t="s">
        <v>106</v>
      </c>
      <c r="B42" s="121"/>
      <c r="C42" s="125" t="s">
        <v>107</v>
      </c>
      <c r="D42" s="123" t="s">
        <v>108</v>
      </c>
      <c r="E42" s="104" t="s">
        <v>80</v>
      </c>
      <c r="F42" s="104">
        <v>4</v>
      </c>
      <c r="G42" s="124">
        <v>25</v>
      </c>
      <c r="H42" s="87">
        <f t="shared" si="6"/>
        <v>100</v>
      </c>
      <c r="I42" s="144" t="s">
        <v>109</v>
      </c>
      <c r="J42" s="145"/>
      <c r="K42" s="145"/>
    </row>
    <row r="43" s="48" customFormat="1" ht="109" customHeight="1" outlineLevel="1" spans="1:11">
      <c r="A43" s="104" t="s">
        <v>110</v>
      </c>
      <c r="B43" s="121" t="s">
        <v>111</v>
      </c>
      <c r="C43" s="125" t="s">
        <v>112</v>
      </c>
      <c r="D43" s="123" t="s">
        <v>113</v>
      </c>
      <c r="E43" s="104" t="s">
        <v>114</v>
      </c>
      <c r="F43" s="104">
        <v>2</v>
      </c>
      <c r="G43" s="124">
        <v>305</v>
      </c>
      <c r="H43" s="87">
        <f t="shared" si="6"/>
        <v>610</v>
      </c>
      <c r="I43" s="144" t="s">
        <v>115</v>
      </c>
      <c r="J43" s="145"/>
      <c r="K43" s="145"/>
    </row>
    <row r="44" s="48" customFormat="1" ht="101.25" outlineLevel="1" spans="1:11">
      <c r="A44" s="104" t="s">
        <v>116</v>
      </c>
      <c r="B44" s="121" t="s">
        <v>111</v>
      </c>
      <c r="C44" s="125" t="s">
        <v>112</v>
      </c>
      <c r="D44" s="123" t="s">
        <v>117</v>
      </c>
      <c r="E44" s="104" t="s">
        <v>114</v>
      </c>
      <c r="F44" s="104">
        <v>3</v>
      </c>
      <c r="G44" s="124">
        <v>305</v>
      </c>
      <c r="H44" s="87">
        <f t="shared" si="6"/>
        <v>915</v>
      </c>
      <c r="I44" s="144" t="str">
        <f>I43</f>
        <v>1、混凝土浇筑、捣固、抹平、养生
2、钢筋解捆，除锈，调直，下料，弯曲，焊接，绑扎成型，运输入模
3、杆安装、调整垂直度
4、基础接地等</v>
      </c>
      <c r="J44" s="145"/>
      <c r="K44" s="145"/>
    </row>
    <row r="45" s="48" customFormat="1" ht="69" customHeight="1" outlineLevel="1" spans="1:11">
      <c r="A45" s="104" t="s">
        <v>118</v>
      </c>
      <c r="B45" s="121"/>
      <c r="C45" s="125" t="s">
        <v>96</v>
      </c>
      <c r="D45" s="123" t="s">
        <v>119</v>
      </c>
      <c r="E45" s="104" t="s">
        <v>98</v>
      </c>
      <c r="F45" s="104">
        <v>2</v>
      </c>
      <c r="G45" s="124">
        <v>80</v>
      </c>
      <c r="H45" s="87">
        <f t="shared" si="6"/>
        <v>160</v>
      </c>
      <c r="I45" s="144" t="str">
        <f>I41</f>
        <v>面板安装、固定等全过程</v>
      </c>
      <c r="J45" s="145"/>
      <c r="K45" s="145"/>
    </row>
    <row r="46" s="48" customFormat="1" ht="69" customHeight="1" outlineLevel="1" spans="1:11">
      <c r="A46" s="104" t="s">
        <v>120</v>
      </c>
      <c r="B46" s="121"/>
      <c r="C46" s="125" t="s">
        <v>96</v>
      </c>
      <c r="D46" s="123" t="s">
        <v>121</v>
      </c>
      <c r="E46" s="104" t="s">
        <v>98</v>
      </c>
      <c r="F46" s="104">
        <v>2</v>
      </c>
      <c r="G46" s="124">
        <v>40</v>
      </c>
      <c r="H46" s="87">
        <f t="shared" si="6"/>
        <v>80</v>
      </c>
      <c r="I46" s="144" t="str">
        <f>I45</f>
        <v>面板安装、固定等全过程</v>
      </c>
      <c r="J46" s="145"/>
      <c r="K46" s="145"/>
    </row>
    <row r="47" s="48" customFormat="1" ht="64" customHeight="1" outlineLevel="1" spans="1:11">
      <c r="A47" s="104" t="s">
        <v>122</v>
      </c>
      <c r="B47" s="121"/>
      <c r="C47" s="125" t="s">
        <v>123</v>
      </c>
      <c r="D47" s="123" t="s">
        <v>124</v>
      </c>
      <c r="E47" s="104" t="s">
        <v>114</v>
      </c>
      <c r="F47" s="104">
        <v>2</v>
      </c>
      <c r="G47" s="124">
        <v>6.4</v>
      </c>
      <c r="H47" s="87">
        <f t="shared" si="6"/>
        <v>12.8</v>
      </c>
      <c r="I47" s="144" t="s">
        <v>125</v>
      </c>
      <c r="J47" s="145"/>
      <c r="K47" s="145"/>
    </row>
    <row r="48" s="48" customFormat="1" ht="45" customHeight="1" outlineLevel="1" spans="1:11">
      <c r="A48" s="104" t="s">
        <v>126</v>
      </c>
      <c r="B48" s="121"/>
      <c r="C48" s="122" t="s">
        <v>127</v>
      </c>
      <c r="D48" s="123" t="s">
        <v>128</v>
      </c>
      <c r="E48" s="104" t="s">
        <v>80</v>
      </c>
      <c r="F48" s="104">
        <v>20</v>
      </c>
      <c r="G48" s="124"/>
      <c r="H48" s="87">
        <f t="shared" si="6"/>
        <v>0</v>
      </c>
      <c r="I48" s="144"/>
      <c r="J48" s="145"/>
      <c r="K48" s="145"/>
    </row>
    <row r="49" s="48" customFormat="1" ht="22.5" spans="1:11">
      <c r="A49" s="114" t="s">
        <v>129</v>
      </c>
      <c r="B49" s="115"/>
      <c r="C49" s="116" t="s">
        <v>130</v>
      </c>
      <c r="D49" s="118"/>
      <c r="E49" s="118"/>
      <c r="F49" s="118"/>
      <c r="G49" s="119"/>
      <c r="H49" s="120">
        <f>SUM(H52:H93)</f>
        <v>28864.7</v>
      </c>
      <c r="I49" s="142"/>
      <c r="J49" s="143"/>
      <c r="K49" s="143"/>
    </row>
    <row r="50" s="48" customFormat="1" ht="25" customHeight="1" outlineLevel="1" spans="1:11">
      <c r="A50" s="104" t="s">
        <v>13</v>
      </c>
      <c r="B50" s="126"/>
      <c r="C50" s="102" t="s">
        <v>131</v>
      </c>
      <c r="D50" s="121" t="s">
        <v>13</v>
      </c>
      <c r="E50" s="104" t="s">
        <v>13</v>
      </c>
      <c r="F50" s="104" t="s">
        <v>13</v>
      </c>
      <c r="G50" s="124"/>
      <c r="H50" s="127"/>
      <c r="I50" s="144"/>
      <c r="J50" s="145"/>
      <c r="K50" s="145"/>
    </row>
    <row r="51" s="48" customFormat="1" ht="25" customHeight="1" outlineLevel="1" spans="1:11">
      <c r="A51" s="104"/>
      <c r="B51" s="126"/>
      <c r="C51" s="102" t="s">
        <v>132</v>
      </c>
      <c r="D51" s="121"/>
      <c r="E51" s="104"/>
      <c r="F51" s="104"/>
      <c r="G51" s="124"/>
      <c r="H51" s="127"/>
      <c r="I51" s="144"/>
      <c r="J51" s="145"/>
      <c r="K51" s="145"/>
    </row>
    <row r="52" s="48" customFormat="1" ht="63" customHeight="1" outlineLevel="1" spans="1:11">
      <c r="A52" s="104" t="s">
        <v>92</v>
      </c>
      <c r="B52" s="126" t="s">
        <v>133</v>
      </c>
      <c r="C52" s="125" t="s">
        <v>134</v>
      </c>
      <c r="D52" s="123" t="s">
        <v>135</v>
      </c>
      <c r="E52" s="104" t="s">
        <v>49</v>
      </c>
      <c r="F52" s="104">
        <v>10</v>
      </c>
      <c r="G52" s="124">
        <v>12</v>
      </c>
      <c r="H52" s="87">
        <f t="shared" ref="H52:H93" si="9">ROUND(G52*F52,2)</f>
        <v>120</v>
      </c>
      <c r="I52" s="144" t="s">
        <v>136</v>
      </c>
      <c r="J52" s="145"/>
      <c r="K52" s="145"/>
    </row>
    <row r="53" s="48" customFormat="1" ht="67" customHeight="1" outlineLevel="1" spans="1:11">
      <c r="A53" s="104" t="s">
        <v>95</v>
      </c>
      <c r="B53" s="126" t="s">
        <v>133</v>
      </c>
      <c r="C53" s="125" t="s">
        <v>134</v>
      </c>
      <c r="D53" s="123" t="s">
        <v>137</v>
      </c>
      <c r="E53" s="104" t="s">
        <v>49</v>
      </c>
      <c r="F53" s="104">
        <v>27</v>
      </c>
      <c r="G53" s="124">
        <v>18</v>
      </c>
      <c r="H53" s="87">
        <f t="shared" si="9"/>
        <v>486</v>
      </c>
      <c r="I53" s="144" t="str">
        <f>I52</f>
        <v>场内运输、切管、下管、打口、管道敷设、管道接口处理、管道压力试验、消毒冲洗等全过程</v>
      </c>
      <c r="J53" s="145"/>
      <c r="K53" s="145"/>
    </row>
    <row r="54" s="48" customFormat="1" ht="63" customHeight="1" outlineLevel="1" spans="1:18">
      <c r="A54" s="104" t="s">
        <v>100</v>
      </c>
      <c r="B54" s="126" t="s">
        <v>133</v>
      </c>
      <c r="C54" s="125" t="s">
        <v>134</v>
      </c>
      <c r="D54" s="123" t="s">
        <v>138</v>
      </c>
      <c r="E54" s="104" t="s">
        <v>49</v>
      </c>
      <c r="F54" s="104">
        <v>205</v>
      </c>
      <c r="G54" s="124">
        <v>25</v>
      </c>
      <c r="H54" s="87">
        <f t="shared" si="9"/>
        <v>5125</v>
      </c>
      <c r="I54" s="144" t="str">
        <f>I53</f>
        <v>场内运输、切管、下管、打口、管道敷设、管道接口处理、管道压力试验、消毒冲洗等全过程</v>
      </c>
      <c r="J54" s="145"/>
      <c r="K54" s="146" t="s">
        <v>7</v>
      </c>
      <c r="L54" s="147" t="s">
        <v>139</v>
      </c>
      <c r="M54" s="147" t="s">
        <v>140</v>
      </c>
      <c r="N54" s="147" t="s">
        <v>141</v>
      </c>
      <c r="O54" s="147" t="s">
        <v>142</v>
      </c>
      <c r="P54" s="147" t="s">
        <v>143</v>
      </c>
      <c r="Q54" s="147" t="s">
        <v>144</v>
      </c>
      <c r="R54" s="151" t="s">
        <v>145</v>
      </c>
    </row>
    <row r="55" s="48" customFormat="1" ht="54" customHeight="1" outlineLevel="1" spans="1:18">
      <c r="A55" s="104" t="s">
        <v>102</v>
      </c>
      <c r="B55" s="126" t="s">
        <v>146</v>
      </c>
      <c r="C55" s="125" t="s">
        <v>147</v>
      </c>
      <c r="D55" s="123" t="s">
        <v>148</v>
      </c>
      <c r="E55" s="104" t="s">
        <v>49</v>
      </c>
      <c r="F55" s="104">
        <v>7</v>
      </c>
      <c r="G55" s="124">
        <v>34</v>
      </c>
      <c r="H55" s="87">
        <f t="shared" si="9"/>
        <v>238</v>
      </c>
      <c r="I55" s="144" t="s">
        <v>149</v>
      </c>
      <c r="K55" s="146">
        <v>14</v>
      </c>
      <c r="L55" s="148">
        <f>K55*0.1*1.6</f>
        <v>2.24</v>
      </c>
      <c r="M55" s="148">
        <f>K55*1*0.75-K55*0.6*0.75</f>
        <v>4.2</v>
      </c>
      <c r="N55" s="148">
        <f>K55*0.2*1.6</f>
        <v>4.48</v>
      </c>
      <c r="O55" s="148">
        <f>K55*1*0.2</f>
        <v>2.8</v>
      </c>
      <c r="P55" s="148"/>
      <c r="Q55" s="148">
        <v>28</v>
      </c>
      <c r="R55" s="152">
        <f>K55*0.6*0.75-3.14*0.1*0.1*K55</f>
        <v>5.8604</v>
      </c>
    </row>
    <row r="56" s="48" customFormat="1" ht="72" customHeight="1" outlineLevel="1" spans="1:18">
      <c r="A56" s="104" t="s">
        <v>104</v>
      </c>
      <c r="B56" s="126"/>
      <c r="C56" s="125" t="s">
        <v>150</v>
      </c>
      <c r="D56" s="123" t="s">
        <v>151</v>
      </c>
      <c r="E56" s="104" t="s">
        <v>80</v>
      </c>
      <c r="F56" s="104">
        <v>2</v>
      </c>
      <c r="G56" s="124">
        <v>196</v>
      </c>
      <c r="H56" s="87">
        <f t="shared" si="9"/>
        <v>392</v>
      </c>
      <c r="I56" s="144" t="s">
        <v>152</v>
      </c>
      <c r="J56" s="145"/>
      <c r="K56" s="146" t="s">
        <v>153</v>
      </c>
      <c r="L56" s="149">
        <f>71*3.2</f>
        <v>227.2</v>
      </c>
      <c r="M56" s="149"/>
      <c r="N56" s="149"/>
      <c r="O56" s="149"/>
      <c r="P56" s="149"/>
      <c r="Q56" s="149"/>
      <c r="R56" s="149"/>
    </row>
    <row r="57" s="48" customFormat="1" ht="56.25" outlineLevel="1" spans="1:18">
      <c r="A57" s="104" t="s">
        <v>106</v>
      </c>
      <c r="B57" s="126" t="s">
        <v>154</v>
      </c>
      <c r="C57" s="125" t="s">
        <v>155</v>
      </c>
      <c r="D57" s="123" t="s">
        <v>156</v>
      </c>
      <c r="E57" s="104" t="s">
        <v>157</v>
      </c>
      <c r="F57" s="104">
        <v>1</v>
      </c>
      <c r="G57" s="124">
        <v>475</v>
      </c>
      <c r="H57" s="87">
        <f t="shared" si="9"/>
        <v>475</v>
      </c>
      <c r="I57" s="144" t="s">
        <v>158</v>
      </c>
      <c r="J57" s="145"/>
      <c r="K57" s="146" t="s">
        <v>159</v>
      </c>
      <c r="L57" s="149">
        <f>8*2*14</f>
        <v>224</v>
      </c>
      <c r="M57" s="149"/>
      <c r="N57" s="149"/>
      <c r="O57" s="149"/>
      <c r="P57" s="149"/>
      <c r="Q57" s="149"/>
      <c r="R57" s="149"/>
    </row>
    <row r="58" s="48" customFormat="1" ht="66" customHeight="1" outlineLevel="1" spans="1:18">
      <c r="A58" s="104" t="s">
        <v>110</v>
      </c>
      <c r="B58" s="126" t="s">
        <v>154</v>
      </c>
      <c r="C58" s="125" t="s">
        <v>160</v>
      </c>
      <c r="D58" s="123" t="s">
        <v>161</v>
      </c>
      <c r="E58" s="104" t="s">
        <v>157</v>
      </c>
      <c r="F58" s="104">
        <v>1</v>
      </c>
      <c r="G58" s="124">
        <v>530</v>
      </c>
      <c r="H58" s="87">
        <f t="shared" si="9"/>
        <v>530</v>
      </c>
      <c r="I58" s="144" t="s">
        <v>158</v>
      </c>
      <c r="J58" s="145"/>
      <c r="K58" s="146" t="s">
        <v>162</v>
      </c>
      <c r="L58" s="149">
        <f>4.6*71+16*14</f>
        <v>550.6</v>
      </c>
      <c r="M58" s="149"/>
      <c r="N58" s="149"/>
      <c r="O58" s="149"/>
      <c r="P58" s="149"/>
      <c r="Q58" s="149"/>
      <c r="R58" s="149"/>
    </row>
    <row r="59" s="48" customFormat="1" ht="67.5" outlineLevel="1" spans="1:18">
      <c r="A59" s="104" t="s">
        <v>116</v>
      </c>
      <c r="B59" s="126" t="s">
        <v>154</v>
      </c>
      <c r="C59" s="125" t="s">
        <v>163</v>
      </c>
      <c r="D59" s="123" t="s">
        <v>164</v>
      </c>
      <c r="E59" s="104" t="s">
        <v>80</v>
      </c>
      <c r="F59" s="104">
        <v>1</v>
      </c>
      <c r="G59" s="124">
        <v>80</v>
      </c>
      <c r="H59" s="87">
        <f t="shared" si="9"/>
        <v>80</v>
      </c>
      <c r="I59" s="144" t="s">
        <v>152</v>
      </c>
      <c r="J59" s="150" t="s">
        <v>165</v>
      </c>
      <c r="K59" s="146" t="s">
        <v>166</v>
      </c>
      <c r="L59" s="149">
        <f>2*3</f>
        <v>6</v>
      </c>
      <c r="M59" s="149"/>
      <c r="N59" s="149"/>
      <c r="O59" s="149"/>
      <c r="P59" s="149"/>
      <c r="Q59" s="149"/>
      <c r="R59" s="149"/>
    </row>
    <row r="60" s="48" customFormat="1" ht="56.25" outlineLevel="1" spans="1:18">
      <c r="A60" s="104" t="s">
        <v>118</v>
      </c>
      <c r="B60" s="126" t="s">
        <v>154</v>
      </c>
      <c r="C60" s="125" t="s">
        <v>167</v>
      </c>
      <c r="D60" s="123" t="s">
        <v>168</v>
      </c>
      <c r="E60" s="104" t="s">
        <v>157</v>
      </c>
      <c r="F60" s="104">
        <v>1</v>
      </c>
      <c r="G60" s="124">
        <f>G58</f>
        <v>530</v>
      </c>
      <c r="H60" s="87">
        <f t="shared" si="9"/>
        <v>530</v>
      </c>
      <c r="I60" s="144" t="str">
        <f>I58</f>
        <v>混凝土浇捣、养护、砌砖、勾缝、安装盖板及井盖</v>
      </c>
      <c r="J60" s="150"/>
      <c r="K60" s="146" t="s">
        <v>159</v>
      </c>
      <c r="L60" s="149">
        <f>10*14</f>
        <v>140</v>
      </c>
      <c r="M60" s="149"/>
      <c r="N60" s="149"/>
      <c r="O60" s="149"/>
      <c r="P60" s="149"/>
      <c r="Q60" s="149"/>
      <c r="R60" s="149"/>
    </row>
    <row r="61" s="48" customFormat="1" ht="64" customHeight="1" outlineLevel="1" spans="1:11">
      <c r="A61" s="104" t="s">
        <v>120</v>
      </c>
      <c r="B61" s="126"/>
      <c r="C61" s="125" t="s">
        <v>169</v>
      </c>
      <c r="D61" s="123" t="s">
        <v>170</v>
      </c>
      <c r="E61" s="104" t="s">
        <v>80</v>
      </c>
      <c r="F61" s="104">
        <v>1</v>
      </c>
      <c r="G61" s="124">
        <v>80</v>
      </c>
      <c r="H61" s="87">
        <f t="shared" si="9"/>
        <v>80</v>
      </c>
      <c r="I61" s="144" t="s">
        <v>171</v>
      </c>
      <c r="J61" s="145"/>
      <c r="K61" s="145"/>
    </row>
    <row r="62" s="48" customFormat="1" ht="61" customHeight="1" outlineLevel="1" spans="1:11">
      <c r="A62" s="104" t="s">
        <v>122</v>
      </c>
      <c r="B62" s="126"/>
      <c r="C62" s="125" t="s">
        <v>169</v>
      </c>
      <c r="D62" s="123" t="s">
        <v>172</v>
      </c>
      <c r="E62" s="104" t="s">
        <v>80</v>
      </c>
      <c r="F62" s="104">
        <v>1</v>
      </c>
      <c r="G62" s="124">
        <v>60</v>
      </c>
      <c r="H62" s="87">
        <f t="shared" si="9"/>
        <v>60</v>
      </c>
      <c r="I62" s="144" t="str">
        <f t="shared" ref="I62:I67" si="10">I61</f>
        <v>场内运输、管件安装、压力试验等全过程</v>
      </c>
      <c r="J62" s="145"/>
      <c r="K62" s="145"/>
    </row>
    <row r="63" s="48" customFormat="1" ht="56.25" outlineLevel="1" spans="1:11">
      <c r="A63" s="104" t="s">
        <v>126</v>
      </c>
      <c r="B63" s="126"/>
      <c r="C63" s="125" t="s">
        <v>173</v>
      </c>
      <c r="D63" s="123" t="s">
        <v>174</v>
      </c>
      <c r="E63" s="104" t="s">
        <v>80</v>
      </c>
      <c r="F63" s="104">
        <v>1</v>
      </c>
      <c r="G63" s="124">
        <f>G61</f>
        <v>80</v>
      </c>
      <c r="H63" s="87">
        <f t="shared" si="9"/>
        <v>80</v>
      </c>
      <c r="I63" s="144" t="str">
        <f t="shared" si="10"/>
        <v>场内运输、管件安装、压力试验等全过程</v>
      </c>
      <c r="J63" s="145"/>
      <c r="K63" s="145"/>
    </row>
    <row r="64" s="48" customFormat="1" ht="56.25" outlineLevel="1" spans="1:11">
      <c r="A64" s="104" t="s">
        <v>175</v>
      </c>
      <c r="B64" s="104"/>
      <c r="C64" s="125" t="s">
        <v>176</v>
      </c>
      <c r="D64" s="123" t="s">
        <v>177</v>
      </c>
      <c r="E64" s="104" t="s">
        <v>80</v>
      </c>
      <c r="F64" s="104">
        <v>1</v>
      </c>
      <c r="G64" s="124">
        <f>G61</f>
        <v>80</v>
      </c>
      <c r="H64" s="87">
        <f t="shared" si="9"/>
        <v>80</v>
      </c>
      <c r="I64" s="144" t="str">
        <f t="shared" si="10"/>
        <v>场内运输、管件安装、压力试验等全过程</v>
      </c>
      <c r="J64" s="145"/>
      <c r="K64" s="145"/>
    </row>
    <row r="65" s="48" customFormat="1" ht="60" customHeight="1" outlineLevel="1" spans="1:11">
      <c r="A65" s="104" t="s">
        <v>178</v>
      </c>
      <c r="B65" s="104"/>
      <c r="C65" s="125" t="s">
        <v>179</v>
      </c>
      <c r="D65" s="123" t="s">
        <v>180</v>
      </c>
      <c r="E65" s="104" t="s">
        <v>80</v>
      </c>
      <c r="F65" s="104">
        <v>4</v>
      </c>
      <c r="G65" s="124">
        <f>G61</f>
        <v>80</v>
      </c>
      <c r="H65" s="87">
        <f t="shared" si="9"/>
        <v>320</v>
      </c>
      <c r="I65" s="144" t="str">
        <f t="shared" si="10"/>
        <v>场内运输、管件安装、压力试验等全过程</v>
      </c>
      <c r="J65" s="145"/>
      <c r="K65" s="145"/>
    </row>
    <row r="66" s="48" customFormat="1" ht="63" customHeight="1" outlineLevel="1" spans="1:11">
      <c r="A66" s="104" t="s">
        <v>181</v>
      </c>
      <c r="B66" s="104"/>
      <c r="C66" s="125" t="s">
        <v>182</v>
      </c>
      <c r="D66" s="123" t="s">
        <v>183</v>
      </c>
      <c r="E66" s="104" t="s">
        <v>80</v>
      </c>
      <c r="F66" s="104">
        <v>2</v>
      </c>
      <c r="G66" s="124">
        <f>G65</f>
        <v>80</v>
      </c>
      <c r="H66" s="87">
        <f t="shared" si="9"/>
        <v>160</v>
      </c>
      <c r="I66" s="144" t="str">
        <f t="shared" si="10"/>
        <v>场内运输、管件安装、压力试验等全过程</v>
      </c>
      <c r="J66" s="145"/>
      <c r="K66" s="145"/>
    </row>
    <row r="67" s="48" customFormat="1" ht="65" customHeight="1" outlineLevel="1" spans="1:11">
      <c r="A67" s="104" t="s">
        <v>184</v>
      </c>
      <c r="B67" s="104"/>
      <c r="C67" s="125" t="s">
        <v>179</v>
      </c>
      <c r="D67" s="123" t="s">
        <v>185</v>
      </c>
      <c r="E67" s="104" t="s">
        <v>80</v>
      </c>
      <c r="F67" s="104">
        <v>1</v>
      </c>
      <c r="G67" s="124">
        <v>80</v>
      </c>
      <c r="H67" s="87">
        <f t="shared" si="9"/>
        <v>80</v>
      </c>
      <c r="I67" s="144" t="str">
        <f t="shared" si="10"/>
        <v>场内运输、管件安装、压力试验等全过程</v>
      </c>
      <c r="J67" s="145"/>
      <c r="K67" s="145"/>
    </row>
    <row r="68" s="48" customFormat="1" ht="61" customHeight="1" outlineLevel="1" spans="1:11">
      <c r="A68" s="104" t="s">
        <v>186</v>
      </c>
      <c r="B68" s="104" t="s">
        <v>187</v>
      </c>
      <c r="C68" s="125" t="s">
        <v>188</v>
      </c>
      <c r="D68" s="123" t="s">
        <v>189</v>
      </c>
      <c r="E68" s="104" t="s">
        <v>80</v>
      </c>
      <c r="F68" s="104">
        <v>1</v>
      </c>
      <c r="G68" s="124">
        <v>205</v>
      </c>
      <c r="H68" s="87">
        <f t="shared" si="9"/>
        <v>205</v>
      </c>
      <c r="I68" s="144" t="s">
        <v>190</v>
      </c>
      <c r="J68" s="145">
        <f>90*2.31</f>
        <v>207.9</v>
      </c>
      <c r="K68" s="145"/>
    </row>
    <row r="69" s="48" customFormat="1" ht="62" customHeight="1" outlineLevel="1" spans="1:11">
      <c r="A69" s="104" t="s">
        <v>191</v>
      </c>
      <c r="B69" s="104" t="s">
        <v>187</v>
      </c>
      <c r="C69" s="125" t="s">
        <v>192</v>
      </c>
      <c r="D69" s="123" t="s">
        <v>193</v>
      </c>
      <c r="E69" s="104" t="s">
        <v>80</v>
      </c>
      <c r="F69" s="104">
        <v>4</v>
      </c>
      <c r="G69" s="124">
        <v>300</v>
      </c>
      <c r="H69" s="87">
        <f t="shared" si="9"/>
        <v>1200</v>
      </c>
      <c r="I69" s="144" t="str">
        <f t="shared" ref="I69:I73" si="11">I68</f>
        <v>混凝土浇捣、养护</v>
      </c>
      <c r="J69" s="145">
        <f>90*3.34</f>
        <v>300.6</v>
      </c>
      <c r="K69" s="145"/>
    </row>
    <row r="70" s="48" customFormat="1" ht="63" customHeight="1" outlineLevel="1" spans="1:11">
      <c r="A70" s="104" t="s">
        <v>194</v>
      </c>
      <c r="B70" s="104" t="s">
        <v>187</v>
      </c>
      <c r="C70" s="125" t="s">
        <v>195</v>
      </c>
      <c r="D70" s="123" t="s">
        <v>196</v>
      </c>
      <c r="E70" s="104" t="s">
        <v>80</v>
      </c>
      <c r="F70" s="104">
        <v>2</v>
      </c>
      <c r="G70" s="124">
        <f>G69</f>
        <v>300</v>
      </c>
      <c r="H70" s="87">
        <f t="shared" si="9"/>
        <v>600</v>
      </c>
      <c r="I70" s="144" t="str">
        <f t="shared" si="11"/>
        <v>混凝土浇捣、养护</v>
      </c>
      <c r="J70" s="145"/>
      <c r="K70" s="145"/>
    </row>
    <row r="71" s="48" customFormat="1" ht="65" customHeight="1" outlineLevel="1" spans="1:11">
      <c r="A71" s="104" t="s">
        <v>197</v>
      </c>
      <c r="B71" s="104" t="s">
        <v>187</v>
      </c>
      <c r="C71" s="125" t="s">
        <v>198</v>
      </c>
      <c r="D71" s="123" t="s">
        <v>199</v>
      </c>
      <c r="E71" s="104" t="s">
        <v>80</v>
      </c>
      <c r="F71" s="104">
        <v>2</v>
      </c>
      <c r="G71" s="124">
        <v>78</v>
      </c>
      <c r="H71" s="87">
        <f t="shared" si="9"/>
        <v>156</v>
      </c>
      <c r="I71" s="144" t="str">
        <f t="shared" si="11"/>
        <v>混凝土浇捣、养护</v>
      </c>
      <c r="J71" s="145">
        <f>90*0.87</f>
        <v>78.3</v>
      </c>
      <c r="K71" s="145"/>
    </row>
    <row r="72" s="48" customFormat="1" ht="61" customHeight="1" outlineLevel="1" spans="1:11">
      <c r="A72" s="104" t="s">
        <v>200</v>
      </c>
      <c r="B72" s="104" t="s">
        <v>187</v>
      </c>
      <c r="C72" s="125" t="s">
        <v>201</v>
      </c>
      <c r="D72" s="123" t="s">
        <v>202</v>
      </c>
      <c r="E72" s="104" t="s">
        <v>80</v>
      </c>
      <c r="F72" s="104">
        <v>1</v>
      </c>
      <c r="G72" s="124">
        <f>G71</f>
        <v>78</v>
      </c>
      <c r="H72" s="87">
        <f t="shared" si="9"/>
        <v>78</v>
      </c>
      <c r="I72" s="144" t="str">
        <f t="shared" si="11"/>
        <v>混凝土浇捣、养护</v>
      </c>
      <c r="J72" s="145"/>
      <c r="K72" s="145"/>
    </row>
    <row r="73" s="48" customFormat="1" ht="65" customHeight="1" outlineLevel="1" spans="1:11">
      <c r="A73" s="104" t="s">
        <v>203</v>
      </c>
      <c r="B73" s="104" t="s">
        <v>187</v>
      </c>
      <c r="C73" s="125" t="s">
        <v>192</v>
      </c>
      <c r="D73" s="123" t="s">
        <v>204</v>
      </c>
      <c r="E73" s="104" t="s">
        <v>80</v>
      </c>
      <c r="F73" s="104">
        <v>1</v>
      </c>
      <c r="G73" s="124">
        <v>30</v>
      </c>
      <c r="H73" s="87">
        <f t="shared" si="9"/>
        <v>30</v>
      </c>
      <c r="I73" s="144" t="str">
        <f t="shared" si="11"/>
        <v>混凝土浇捣、养护</v>
      </c>
      <c r="J73" s="145">
        <f>90*0.34</f>
        <v>30.6</v>
      </c>
      <c r="K73" s="145"/>
    </row>
    <row r="74" s="48" customFormat="1" ht="50" customHeight="1" outlineLevel="1" spans="1:11">
      <c r="A74" s="104" t="s">
        <v>205</v>
      </c>
      <c r="B74" s="104"/>
      <c r="C74" s="125" t="s">
        <v>206</v>
      </c>
      <c r="D74" s="123" t="s">
        <v>207</v>
      </c>
      <c r="E74" s="104" t="s">
        <v>80</v>
      </c>
      <c r="F74" s="104">
        <v>2</v>
      </c>
      <c r="G74" s="124">
        <v>28</v>
      </c>
      <c r="H74" s="87">
        <f t="shared" si="9"/>
        <v>56</v>
      </c>
      <c r="I74" s="144" t="str">
        <f>I67</f>
        <v>场内运输、管件安装、压力试验等全过程</v>
      </c>
      <c r="J74" s="145"/>
      <c r="K74" s="145"/>
    </row>
    <row r="75" s="48" customFormat="1" ht="41" customHeight="1" outlineLevel="1" spans="1:11">
      <c r="A75" s="104" t="s">
        <v>208</v>
      </c>
      <c r="B75" s="104"/>
      <c r="C75" s="125" t="s">
        <v>209</v>
      </c>
      <c r="D75" s="123" t="s">
        <v>210</v>
      </c>
      <c r="E75" s="104" t="s">
        <v>80</v>
      </c>
      <c r="F75" s="104">
        <v>5</v>
      </c>
      <c r="G75" s="124">
        <v>4</v>
      </c>
      <c r="H75" s="87">
        <f t="shared" si="9"/>
        <v>20</v>
      </c>
      <c r="I75" s="144" t="s">
        <v>211</v>
      </c>
      <c r="J75" s="145"/>
      <c r="K75" s="145"/>
    </row>
    <row r="76" s="48" customFormat="1" ht="48" customHeight="1" outlineLevel="1" spans="1:11">
      <c r="A76" s="104" t="s">
        <v>212</v>
      </c>
      <c r="B76" s="104"/>
      <c r="C76" s="125" t="s">
        <v>213</v>
      </c>
      <c r="D76" s="123" t="s">
        <v>214</v>
      </c>
      <c r="E76" s="104" t="s">
        <v>215</v>
      </c>
      <c r="F76" s="104">
        <v>2</v>
      </c>
      <c r="G76" s="124">
        <v>500</v>
      </c>
      <c r="H76" s="87">
        <f t="shared" si="9"/>
        <v>1000</v>
      </c>
      <c r="I76" s="144" t="s">
        <v>216</v>
      </c>
      <c r="J76" s="145"/>
      <c r="K76" s="145"/>
    </row>
    <row r="77" s="48" customFormat="1" ht="53" customHeight="1" outlineLevel="1" spans="1:11">
      <c r="A77" s="104" t="s">
        <v>217</v>
      </c>
      <c r="B77" s="104"/>
      <c r="C77" s="125" t="s">
        <v>206</v>
      </c>
      <c r="D77" s="123" t="s">
        <v>218</v>
      </c>
      <c r="E77" s="104" t="s">
        <v>80</v>
      </c>
      <c r="F77" s="104">
        <v>1</v>
      </c>
      <c r="G77" s="124">
        <v>22</v>
      </c>
      <c r="H77" s="87">
        <f t="shared" si="9"/>
        <v>22</v>
      </c>
      <c r="I77" s="144" t="str">
        <f>I74</f>
        <v>场内运输、管件安装、压力试验等全过程</v>
      </c>
      <c r="J77" s="145"/>
      <c r="K77" s="145"/>
    </row>
    <row r="78" s="48" customFormat="1" ht="51" customHeight="1" outlineLevel="1" spans="1:11">
      <c r="A78" s="104" t="s">
        <v>219</v>
      </c>
      <c r="B78" s="104"/>
      <c r="C78" s="125" t="s">
        <v>220</v>
      </c>
      <c r="D78" s="123" t="s">
        <v>221</v>
      </c>
      <c r="E78" s="104" t="s">
        <v>80</v>
      </c>
      <c r="F78" s="104">
        <v>1</v>
      </c>
      <c r="G78" s="124">
        <v>35</v>
      </c>
      <c r="H78" s="87">
        <f t="shared" si="9"/>
        <v>35</v>
      </c>
      <c r="I78" s="144" t="s">
        <v>222</v>
      </c>
      <c r="J78" s="145"/>
      <c r="K78" s="145"/>
    </row>
    <row r="79" s="48" customFormat="1" ht="63" customHeight="1" outlineLevel="1" spans="1:17">
      <c r="A79" s="104" t="s">
        <v>223</v>
      </c>
      <c r="B79" s="104"/>
      <c r="C79" s="122" t="s">
        <v>224</v>
      </c>
      <c r="D79" s="123" t="s">
        <v>225</v>
      </c>
      <c r="E79" s="104" t="s">
        <v>20</v>
      </c>
      <c r="F79" s="104">
        <v>529.27</v>
      </c>
      <c r="G79" s="124"/>
      <c r="H79" s="87">
        <f t="shared" si="9"/>
        <v>0</v>
      </c>
      <c r="I79" s="144"/>
      <c r="J79" s="145"/>
      <c r="K79" s="145"/>
      <c r="M79" s="158"/>
      <c r="N79" s="158"/>
      <c r="O79" s="158"/>
      <c r="P79" s="158"/>
      <c r="Q79" s="161"/>
    </row>
    <row r="80" s="48" customFormat="1" ht="63" customHeight="1" outlineLevel="1" spans="1:17">
      <c r="A80" s="104" t="s">
        <v>226</v>
      </c>
      <c r="B80" s="104"/>
      <c r="C80" s="122" t="s">
        <v>227</v>
      </c>
      <c r="D80" s="123" t="s">
        <v>228</v>
      </c>
      <c r="E80" s="104" t="s">
        <v>20</v>
      </c>
      <c r="F80" s="104">
        <v>50.82</v>
      </c>
      <c r="G80" s="124"/>
      <c r="H80" s="87">
        <f t="shared" si="9"/>
        <v>0</v>
      </c>
      <c r="I80" s="144"/>
      <c r="J80" s="145"/>
      <c r="K80" s="145"/>
      <c r="M80" s="158"/>
      <c r="N80" s="158"/>
      <c r="O80" s="158"/>
      <c r="P80" s="158"/>
      <c r="Q80" s="161"/>
    </row>
    <row r="81" s="48" customFormat="1" ht="63" customHeight="1" outlineLevel="1" spans="1:11">
      <c r="A81" s="104" t="s">
        <v>229</v>
      </c>
      <c r="B81" s="104"/>
      <c r="C81" s="122" t="s">
        <v>230</v>
      </c>
      <c r="D81" s="123" t="s">
        <v>231</v>
      </c>
      <c r="E81" s="104" t="s">
        <v>20</v>
      </c>
      <c r="F81" s="104">
        <v>348.48</v>
      </c>
      <c r="G81" s="124"/>
      <c r="H81" s="87">
        <f t="shared" si="9"/>
        <v>0</v>
      </c>
      <c r="I81" s="144"/>
      <c r="J81" s="145"/>
      <c r="K81" s="145"/>
    </row>
    <row r="82" s="48" customFormat="1" ht="63" customHeight="1" outlineLevel="1" spans="1:11">
      <c r="A82" s="104" t="s">
        <v>232</v>
      </c>
      <c r="B82" s="104"/>
      <c r="C82" s="122" t="s">
        <v>233</v>
      </c>
      <c r="D82" s="123" t="s">
        <v>234</v>
      </c>
      <c r="E82" s="104" t="s">
        <v>20</v>
      </c>
      <c r="F82" s="104">
        <v>129.97</v>
      </c>
      <c r="G82" s="124"/>
      <c r="H82" s="87">
        <f t="shared" si="9"/>
        <v>0</v>
      </c>
      <c r="I82" s="144"/>
      <c r="J82" s="145"/>
      <c r="K82" s="145"/>
    </row>
    <row r="83" s="48" customFormat="1" ht="25" customHeight="1" outlineLevel="1" spans="1:11">
      <c r="A83" s="104"/>
      <c r="B83" s="104"/>
      <c r="C83" s="102" t="s">
        <v>235</v>
      </c>
      <c r="D83" s="123"/>
      <c r="E83" s="104"/>
      <c r="F83" s="104"/>
      <c r="G83" s="124"/>
      <c r="H83" s="87">
        <f t="shared" si="9"/>
        <v>0</v>
      </c>
      <c r="I83" s="144"/>
      <c r="J83" s="145"/>
      <c r="K83" s="145"/>
    </row>
    <row r="84" s="48" customFormat="1" ht="65" customHeight="1" outlineLevel="1" spans="1:17">
      <c r="A84" s="104" t="s">
        <v>236</v>
      </c>
      <c r="B84" s="104" t="s">
        <v>237</v>
      </c>
      <c r="C84" s="125" t="s">
        <v>238</v>
      </c>
      <c r="D84" s="123" t="s">
        <v>239</v>
      </c>
      <c r="E84" s="104" t="s">
        <v>49</v>
      </c>
      <c r="F84" s="104">
        <v>60</v>
      </c>
      <c r="G84" s="124">
        <v>40</v>
      </c>
      <c r="H84" s="87">
        <f t="shared" si="9"/>
        <v>2400</v>
      </c>
      <c r="I84" s="144" t="s">
        <v>240</v>
      </c>
      <c r="J84" s="145"/>
      <c r="K84" s="145"/>
      <c r="L84" s="48" t="s">
        <v>241</v>
      </c>
      <c r="M84" s="159" t="s">
        <v>242</v>
      </c>
      <c r="N84" s="160" t="s">
        <v>227</v>
      </c>
      <c r="O84" s="160" t="s">
        <v>243</v>
      </c>
      <c r="P84" s="160" t="s">
        <v>233</v>
      </c>
      <c r="Q84" s="48" t="s">
        <v>244</v>
      </c>
    </row>
    <row r="85" s="48" customFormat="1" ht="64" customHeight="1" outlineLevel="1" spans="1:17">
      <c r="A85" s="104" t="s">
        <v>245</v>
      </c>
      <c r="B85" s="104" t="s">
        <v>246</v>
      </c>
      <c r="C85" s="125" t="s">
        <v>238</v>
      </c>
      <c r="D85" s="123" t="s">
        <v>247</v>
      </c>
      <c r="E85" s="104" t="s">
        <v>49</v>
      </c>
      <c r="F85" s="104">
        <v>86</v>
      </c>
      <c r="G85" s="124">
        <v>60</v>
      </c>
      <c r="H85" s="87">
        <f t="shared" si="9"/>
        <v>5160</v>
      </c>
      <c r="I85" s="144" t="s">
        <v>240</v>
      </c>
      <c r="J85" s="145"/>
      <c r="K85" s="150">
        <f>F52+F53+F54</f>
        <v>242</v>
      </c>
      <c r="L85" s="48" t="s">
        <v>248</v>
      </c>
      <c r="M85" s="48">
        <v>1.21</v>
      </c>
      <c r="N85" s="48">
        <f>(0.9+1.2)*0.2/2*K85</f>
        <v>50.82</v>
      </c>
      <c r="O85" s="48">
        <f>(2.4+1.2)*0.8/2*K85</f>
        <v>348.48</v>
      </c>
      <c r="P85" s="161">
        <f>Q85-O85-N85</f>
        <v>129.97215</v>
      </c>
      <c r="Q85" s="161">
        <f>(2.715+0.9)*M85/2*K85</f>
        <v>529.27215</v>
      </c>
    </row>
    <row r="86" s="48" customFormat="1" ht="64" customHeight="1" outlineLevel="1" spans="1:17">
      <c r="A86" s="104" t="s">
        <v>249</v>
      </c>
      <c r="B86" s="104" t="s">
        <v>250</v>
      </c>
      <c r="C86" s="125" t="s">
        <v>251</v>
      </c>
      <c r="D86" s="123" t="s">
        <v>252</v>
      </c>
      <c r="E86" s="104" t="s">
        <v>157</v>
      </c>
      <c r="F86" s="104">
        <v>2</v>
      </c>
      <c r="G86" s="124">
        <v>950</v>
      </c>
      <c r="H86" s="87">
        <f t="shared" si="9"/>
        <v>1900</v>
      </c>
      <c r="I86" s="144" t="s">
        <v>253</v>
      </c>
      <c r="J86" s="145"/>
      <c r="K86" s="145"/>
      <c r="L86" s="159" t="s">
        <v>254</v>
      </c>
      <c r="P86" s="161"/>
      <c r="Q86" s="161"/>
    </row>
    <row r="87" s="48" customFormat="1" ht="63" customHeight="1" outlineLevel="1" spans="1:17">
      <c r="A87" s="104" t="s">
        <v>255</v>
      </c>
      <c r="B87" s="104" t="s">
        <v>256</v>
      </c>
      <c r="C87" s="125" t="s">
        <v>251</v>
      </c>
      <c r="D87" s="123" t="s">
        <v>257</v>
      </c>
      <c r="E87" s="104" t="s">
        <v>157</v>
      </c>
      <c r="F87" s="104">
        <v>3</v>
      </c>
      <c r="G87" s="124">
        <v>1200</v>
      </c>
      <c r="H87" s="87">
        <f t="shared" si="9"/>
        <v>3600</v>
      </c>
      <c r="I87" s="144" t="s">
        <v>253</v>
      </c>
      <c r="J87" s="145"/>
      <c r="K87" s="145"/>
      <c r="L87" s="159" t="s">
        <v>258</v>
      </c>
      <c r="M87" s="159" t="s">
        <v>242</v>
      </c>
      <c r="N87" s="160" t="s">
        <v>227</v>
      </c>
      <c r="O87" s="160" t="s">
        <v>243</v>
      </c>
      <c r="P87" s="160" t="s">
        <v>233</v>
      </c>
      <c r="Q87" s="48" t="s">
        <v>244</v>
      </c>
    </row>
    <row r="88" s="48" customFormat="1" ht="63" customHeight="1" outlineLevel="1" spans="1:17">
      <c r="A88" s="104" t="s">
        <v>223</v>
      </c>
      <c r="B88" s="104"/>
      <c r="C88" s="122" t="s">
        <v>224</v>
      </c>
      <c r="D88" s="123" t="s">
        <v>225</v>
      </c>
      <c r="E88" s="104" t="s">
        <v>20</v>
      </c>
      <c r="F88" s="104">
        <f>268.13+557.17</f>
        <v>825.3</v>
      </c>
      <c r="G88" s="124"/>
      <c r="H88" s="87">
        <f t="shared" si="9"/>
        <v>0</v>
      </c>
      <c r="I88" s="144"/>
      <c r="J88" s="145"/>
      <c r="K88" s="145"/>
      <c r="L88" s="48" t="s">
        <v>259</v>
      </c>
      <c r="M88" s="158">
        <v>1.68</v>
      </c>
      <c r="N88" s="158">
        <f>(1.4+1.7)*0.2/2*F84</f>
        <v>18.6</v>
      </c>
      <c r="O88" s="158">
        <f>(3.35+1.7)*1.1/2*F84-3.14*0.3*0.3*F84</f>
        <v>149.694</v>
      </c>
      <c r="P88" s="158">
        <f>Q88-N88-O88</f>
        <v>99.834</v>
      </c>
      <c r="Q88" s="161">
        <v>268.128</v>
      </c>
    </row>
    <row r="89" s="48" customFormat="1" ht="63" customHeight="1" outlineLevel="1" spans="1:17">
      <c r="A89" s="104" t="s">
        <v>226</v>
      </c>
      <c r="B89" s="104"/>
      <c r="C89" s="122" t="s">
        <v>227</v>
      </c>
      <c r="D89" s="123" t="s">
        <v>228</v>
      </c>
      <c r="E89" s="104" t="s">
        <v>20</v>
      </c>
      <c r="F89" s="104">
        <f>18.6+30.1</f>
        <v>48.7</v>
      </c>
      <c r="G89" s="124"/>
      <c r="H89" s="87">
        <f t="shared" si="9"/>
        <v>0</v>
      </c>
      <c r="I89" s="144"/>
      <c r="J89" s="145"/>
      <c r="K89" s="145"/>
      <c r="L89" s="48" t="s">
        <v>260</v>
      </c>
      <c r="M89" s="158">
        <v>2.06</v>
      </c>
      <c r="N89" s="158">
        <f>(1.6+1.9)*0.2/2*F85</f>
        <v>30.1</v>
      </c>
      <c r="O89" s="158">
        <f>(3.85+1.9)*1.3/2*F85-3.14*0.4*0.4*F85</f>
        <v>278.2186</v>
      </c>
      <c r="P89" s="158">
        <f>Q89-O89-N89-M89</f>
        <v>246.7896</v>
      </c>
      <c r="Q89" s="161">
        <v>557.1682</v>
      </c>
    </row>
    <row r="90" s="48" customFormat="1" ht="63" customHeight="1" outlineLevel="1" spans="1:11">
      <c r="A90" s="104" t="s">
        <v>229</v>
      </c>
      <c r="B90" s="104"/>
      <c r="C90" s="122" t="s">
        <v>230</v>
      </c>
      <c r="D90" s="123" t="s">
        <v>231</v>
      </c>
      <c r="E90" s="104" t="s">
        <v>20</v>
      </c>
      <c r="F90" s="104">
        <f>149.69+278.22</f>
        <v>427.91</v>
      </c>
      <c r="G90" s="124"/>
      <c r="H90" s="87">
        <f t="shared" si="9"/>
        <v>0</v>
      </c>
      <c r="I90" s="144"/>
      <c r="J90" s="145"/>
      <c r="K90" s="145"/>
    </row>
    <row r="91" s="48" customFormat="1" ht="63" customHeight="1" outlineLevel="1" spans="1:11">
      <c r="A91" s="104" t="s">
        <v>232</v>
      </c>
      <c r="B91" s="104"/>
      <c r="C91" s="122" t="s">
        <v>233</v>
      </c>
      <c r="D91" s="123" t="s">
        <v>234</v>
      </c>
      <c r="E91" s="104" t="s">
        <v>20</v>
      </c>
      <c r="F91" s="104">
        <f>99.83+246.79</f>
        <v>346.62</v>
      </c>
      <c r="G91" s="124"/>
      <c r="H91" s="87">
        <f t="shared" si="9"/>
        <v>0</v>
      </c>
      <c r="I91" s="144"/>
      <c r="J91" s="145"/>
      <c r="K91" s="145"/>
    </row>
    <row r="92" s="48" customFormat="1" ht="63" customHeight="1" outlineLevel="1" spans="1:11">
      <c r="A92" s="104" t="s">
        <v>261</v>
      </c>
      <c r="B92" s="104" t="s">
        <v>187</v>
      </c>
      <c r="C92" s="125" t="s">
        <v>262</v>
      </c>
      <c r="D92" s="123" t="s">
        <v>263</v>
      </c>
      <c r="E92" s="104" t="s">
        <v>20</v>
      </c>
      <c r="F92" s="104">
        <v>13.74</v>
      </c>
      <c r="G92" s="124">
        <v>90</v>
      </c>
      <c r="H92" s="87">
        <f t="shared" si="9"/>
        <v>1236.6</v>
      </c>
      <c r="I92" s="144" t="s">
        <v>45</v>
      </c>
      <c r="J92" s="145">
        <f>90</f>
        <v>90</v>
      </c>
      <c r="K92" s="145"/>
    </row>
    <row r="93" s="48" customFormat="1" ht="63" customHeight="1" outlineLevel="1" spans="1:11">
      <c r="A93" s="104" t="s">
        <v>264</v>
      </c>
      <c r="B93" s="104" t="s">
        <v>187</v>
      </c>
      <c r="C93" s="125" t="s">
        <v>265</v>
      </c>
      <c r="D93" s="123" t="s">
        <v>263</v>
      </c>
      <c r="E93" s="104" t="s">
        <v>20</v>
      </c>
      <c r="F93" s="104">
        <v>25.89</v>
      </c>
      <c r="G93" s="124">
        <v>90</v>
      </c>
      <c r="H93" s="87">
        <f t="shared" si="9"/>
        <v>2330.1</v>
      </c>
      <c r="I93" s="144" t="s">
        <v>45</v>
      </c>
      <c r="J93" s="145"/>
      <c r="K93" s="145"/>
    </row>
    <row r="94" s="48" customFormat="1" ht="22.5" spans="1:11">
      <c r="A94" s="114" t="s">
        <v>266</v>
      </c>
      <c r="B94" s="114"/>
      <c r="C94" s="153" t="s">
        <v>267</v>
      </c>
      <c r="D94" s="154"/>
      <c r="E94" s="155"/>
      <c r="F94" s="155"/>
      <c r="G94" s="156"/>
      <c r="H94" s="157">
        <f>SUM(H95:H103)</f>
        <v>11662</v>
      </c>
      <c r="I94" s="142"/>
      <c r="J94" s="143"/>
      <c r="K94" s="143"/>
    </row>
    <row r="95" s="48" customFormat="1" ht="66" customHeight="1" outlineLevel="1" spans="1:16">
      <c r="A95" s="104">
        <v>1</v>
      </c>
      <c r="B95" s="104" t="s">
        <v>268</v>
      </c>
      <c r="C95" s="125" t="s">
        <v>238</v>
      </c>
      <c r="D95" s="123" t="s">
        <v>269</v>
      </c>
      <c r="E95" s="104" t="s">
        <v>49</v>
      </c>
      <c r="F95" s="104">
        <v>32</v>
      </c>
      <c r="G95" s="124">
        <v>23</v>
      </c>
      <c r="H95" s="87">
        <f t="shared" ref="H95:H103" si="12">ROUND(G95*F95,2)</f>
        <v>736</v>
      </c>
      <c r="I95" s="144" t="str">
        <f>I84</f>
        <v>材料场内运输、下管、内排运管、安装胶圈、对口、接缝处理、固定、闭水实验等过程</v>
      </c>
      <c r="J95" s="145"/>
      <c r="K95" s="145"/>
      <c r="M95" s="159"/>
      <c r="N95" s="160"/>
      <c r="O95" s="160"/>
      <c r="P95" s="160"/>
    </row>
    <row r="96" s="48" customFormat="1" ht="66" customHeight="1" outlineLevel="1" spans="1:17">
      <c r="A96" s="104">
        <v>2</v>
      </c>
      <c r="B96" s="104" t="s">
        <v>270</v>
      </c>
      <c r="C96" s="125" t="s">
        <v>238</v>
      </c>
      <c r="D96" s="123" t="s">
        <v>271</v>
      </c>
      <c r="E96" s="104" t="s">
        <v>49</v>
      </c>
      <c r="F96" s="104">
        <v>74</v>
      </c>
      <c r="G96" s="124">
        <v>18</v>
      </c>
      <c r="H96" s="87">
        <f t="shared" si="12"/>
        <v>1332</v>
      </c>
      <c r="I96" s="144" t="str">
        <f>I95</f>
        <v>材料场内运输、下管、内排运管、安装胶圈、对口、接缝处理、固定、闭水实验等过程</v>
      </c>
      <c r="J96" s="145"/>
      <c r="K96" s="150"/>
      <c r="P96" s="161"/>
      <c r="Q96" s="161"/>
    </row>
    <row r="97" s="48" customFormat="1" ht="65" customHeight="1" outlineLevel="1" spans="1:17">
      <c r="A97" s="104">
        <v>3</v>
      </c>
      <c r="B97" s="104" t="s">
        <v>133</v>
      </c>
      <c r="C97" s="125" t="s">
        <v>272</v>
      </c>
      <c r="D97" s="123" t="s">
        <v>273</v>
      </c>
      <c r="E97" s="104" t="s">
        <v>49</v>
      </c>
      <c r="F97" s="104">
        <v>36</v>
      </c>
      <c r="G97" s="124">
        <v>12</v>
      </c>
      <c r="H97" s="87">
        <f t="shared" si="12"/>
        <v>432</v>
      </c>
      <c r="I97" s="144" t="s">
        <v>274</v>
      </c>
      <c r="J97" s="145"/>
      <c r="K97" s="162"/>
      <c r="P97" s="161"/>
      <c r="Q97" s="161"/>
    </row>
    <row r="98" s="48" customFormat="1" ht="56.25" outlineLevel="1" spans="1:17">
      <c r="A98" s="104">
        <v>4</v>
      </c>
      <c r="B98" s="104" t="s">
        <v>133</v>
      </c>
      <c r="C98" s="125" t="s">
        <v>275</v>
      </c>
      <c r="D98" s="123" t="s">
        <v>276</v>
      </c>
      <c r="E98" s="104" t="s">
        <v>49</v>
      </c>
      <c r="F98" s="104">
        <v>274</v>
      </c>
      <c r="G98" s="124">
        <v>13</v>
      </c>
      <c r="H98" s="87">
        <f t="shared" si="12"/>
        <v>3562</v>
      </c>
      <c r="I98" s="144" t="s">
        <v>277</v>
      </c>
      <c r="J98" s="145"/>
      <c r="K98" s="150"/>
      <c r="P98" s="161"/>
      <c r="Q98" s="161"/>
    </row>
    <row r="99" s="48" customFormat="1" ht="51" customHeight="1" outlineLevel="1" spans="1:17">
      <c r="A99" s="104">
        <v>5</v>
      </c>
      <c r="B99" s="104" t="s">
        <v>278</v>
      </c>
      <c r="C99" s="125" t="s">
        <v>279</v>
      </c>
      <c r="D99" s="123" t="s">
        <v>280</v>
      </c>
      <c r="E99" s="104" t="s">
        <v>157</v>
      </c>
      <c r="F99" s="104">
        <v>14</v>
      </c>
      <c r="G99" s="124">
        <v>400</v>
      </c>
      <c r="H99" s="87">
        <f t="shared" si="12"/>
        <v>5600</v>
      </c>
      <c r="I99" s="144" t="s">
        <v>253</v>
      </c>
      <c r="J99" s="145"/>
      <c r="K99" s="150"/>
      <c r="P99" s="161"/>
      <c r="Q99" s="161"/>
    </row>
    <row r="100" s="48" customFormat="1" ht="63" customHeight="1" outlineLevel="1" spans="1:17">
      <c r="A100" s="104">
        <v>6</v>
      </c>
      <c r="B100" s="104"/>
      <c r="C100" s="122" t="s">
        <v>224</v>
      </c>
      <c r="D100" s="123" t="s">
        <v>225</v>
      </c>
      <c r="E100" s="104" t="s">
        <v>20</v>
      </c>
      <c r="F100" s="104">
        <f>38.4+79.92+6.8*F99</f>
        <v>213.52</v>
      </c>
      <c r="G100" s="124"/>
      <c r="H100" s="87">
        <f t="shared" si="12"/>
        <v>0</v>
      </c>
      <c r="I100" s="144"/>
      <c r="J100" s="145"/>
      <c r="K100" s="145"/>
      <c r="L100" s="48" t="s">
        <v>258</v>
      </c>
      <c r="M100" s="159" t="s">
        <v>242</v>
      </c>
      <c r="N100" s="160" t="s">
        <v>227</v>
      </c>
      <c r="O100" s="160" t="s">
        <v>243</v>
      </c>
      <c r="P100" s="160" t="s">
        <v>233</v>
      </c>
      <c r="Q100" s="48" t="s">
        <v>244</v>
      </c>
    </row>
    <row r="101" s="48" customFormat="1" ht="63" customHeight="1" outlineLevel="1" spans="1:17">
      <c r="A101" s="104">
        <v>7</v>
      </c>
      <c r="B101" s="104"/>
      <c r="C101" s="122" t="s">
        <v>227</v>
      </c>
      <c r="D101" s="123" t="s">
        <v>281</v>
      </c>
      <c r="E101" s="104" t="s">
        <v>20</v>
      </c>
      <c r="F101" s="104">
        <f>6.4+13.32</f>
        <v>19.72</v>
      </c>
      <c r="G101" s="124"/>
      <c r="H101" s="87">
        <f t="shared" si="12"/>
        <v>0</v>
      </c>
      <c r="I101" s="144"/>
      <c r="J101" s="145"/>
      <c r="K101" s="145"/>
      <c r="L101" s="48" t="s">
        <v>282</v>
      </c>
      <c r="M101" s="48">
        <f>1+0.2</f>
        <v>1.2</v>
      </c>
      <c r="N101" s="48">
        <f>1*0.2*F95</f>
        <v>6.4</v>
      </c>
      <c r="O101" s="48">
        <f>1*0.9*F95</f>
        <v>28.8</v>
      </c>
      <c r="P101" s="161">
        <f>Q101-O101-N101</f>
        <v>3.2</v>
      </c>
      <c r="Q101" s="161">
        <f>1*M101*F95</f>
        <v>38.4</v>
      </c>
    </row>
    <row r="102" s="48" customFormat="1" ht="63" customHeight="1" outlineLevel="1" spans="1:17">
      <c r="A102" s="104">
        <v>8</v>
      </c>
      <c r="B102" s="104"/>
      <c r="C102" s="122" t="s">
        <v>230</v>
      </c>
      <c r="D102" s="123" t="s">
        <v>231</v>
      </c>
      <c r="E102" s="104" t="s">
        <v>20</v>
      </c>
      <c r="F102" s="104">
        <f>28.8+53.28</f>
        <v>82.08</v>
      </c>
      <c r="G102" s="124"/>
      <c r="H102" s="87">
        <f t="shared" si="12"/>
        <v>0</v>
      </c>
      <c r="I102" s="144"/>
      <c r="J102" s="145"/>
      <c r="K102" s="145"/>
      <c r="L102" s="48" t="s">
        <v>248</v>
      </c>
      <c r="M102" s="48">
        <f>1+0.2</f>
        <v>1.2</v>
      </c>
      <c r="N102" s="48">
        <f>0.9*0.2*F96</f>
        <v>13.32</v>
      </c>
      <c r="O102" s="48">
        <f>0.9*0.8*F96</f>
        <v>53.28</v>
      </c>
      <c r="P102" s="48">
        <f>Q102-O102-N102</f>
        <v>13.32</v>
      </c>
      <c r="Q102" s="48">
        <f>0.9*M102*F96</f>
        <v>79.92</v>
      </c>
    </row>
    <row r="103" s="48" customFormat="1" ht="63" customHeight="1" outlineLevel="1" spans="1:11">
      <c r="A103" s="104">
        <v>9</v>
      </c>
      <c r="B103" s="104"/>
      <c r="C103" s="122" t="s">
        <v>233</v>
      </c>
      <c r="D103" s="123" t="s">
        <v>234</v>
      </c>
      <c r="E103" s="104" t="s">
        <v>20</v>
      </c>
      <c r="F103" s="104">
        <f>3.2+13.32</f>
        <v>16.52</v>
      </c>
      <c r="G103" s="124"/>
      <c r="H103" s="87">
        <f t="shared" si="12"/>
        <v>0</v>
      </c>
      <c r="I103" s="144"/>
      <c r="J103" s="145"/>
      <c r="K103" s="145"/>
    </row>
    <row r="104" s="48" customFormat="1" ht="22.5" spans="1:11">
      <c r="A104" s="114" t="s">
        <v>283</v>
      </c>
      <c r="B104" s="114"/>
      <c r="C104" s="153" t="s">
        <v>284</v>
      </c>
      <c r="D104" s="154"/>
      <c r="E104" s="155"/>
      <c r="F104" s="155"/>
      <c r="G104" s="156"/>
      <c r="H104" s="157">
        <f>SUM(H105:H127)</f>
        <v>13910</v>
      </c>
      <c r="I104" s="142"/>
      <c r="J104" s="143"/>
      <c r="K104" s="143"/>
    </row>
    <row r="105" s="48" customFormat="1" ht="63" customHeight="1" outlineLevel="1" spans="1:11">
      <c r="A105" s="104" t="s">
        <v>92</v>
      </c>
      <c r="B105" s="104"/>
      <c r="C105" s="125" t="s">
        <v>285</v>
      </c>
      <c r="D105" s="123" t="s">
        <v>286</v>
      </c>
      <c r="E105" s="104" t="s">
        <v>80</v>
      </c>
      <c r="F105" s="104">
        <v>1</v>
      </c>
      <c r="G105" s="124">
        <v>130</v>
      </c>
      <c r="H105" s="87">
        <f t="shared" ref="H105:H127" si="13">ROUND(G105*F105,2)</f>
        <v>130</v>
      </c>
      <c r="I105" s="144" t="s">
        <v>287</v>
      </c>
      <c r="J105" s="145"/>
      <c r="K105" s="145"/>
    </row>
    <row r="106" s="48" customFormat="1" ht="61" customHeight="1" outlineLevel="1" spans="1:11">
      <c r="A106" s="104" t="s">
        <v>95</v>
      </c>
      <c r="B106" s="104"/>
      <c r="C106" s="125" t="s">
        <v>288</v>
      </c>
      <c r="D106" s="123" t="s">
        <v>289</v>
      </c>
      <c r="E106" s="104" t="s">
        <v>80</v>
      </c>
      <c r="F106" s="104">
        <v>1</v>
      </c>
      <c r="G106" s="124">
        <v>20</v>
      </c>
      <c r="H106" s="87">
        <f t="shared" si="13"/>
        <v>20</v>
      </c>
      <c r="I106" s="144" t="s">
        <v>290</v>
      </c>
      <c r="J106" s="145"/>
      <c r="K106" s="145"/>
    </row>
    <row r="107" s="48" customFormat="1" ht="63" customHeight="1" outlineLevel="1" spans="1:11">
      <c r="A107" s="104" t="s">
        <v>100</v>
      </c>
      <c r="B107" s="104"/>
      <c r="C107" s="125" t="s">
        <v>288</v>
      </c>
      <c r="D107" s="123" t="s">
        <v>291</v>
      </c>
      <c r="E107" s="104" t="s">
        <v>80</v>
      </c>
      <c r="F107" s="104">
        <v>3</v>
      </c>
      <c r="G107" s="124">
        <v>14</v>
      </c>
      <c r="H107" s="87">
        <f t="shared" si="13"/>
        <v>42</v>
      </c>
      <c r="I107" s="144" t="s">
        <v>290</v>
      </c>
      <c r="J107" s="145"/>
      <c r="K107" s="145"/>
    </row>
    <row r="108" s="48" customFormat="1" ht="73" customHeight="1" outlineLevel="1" spans="1:11">
      <c r="A108" s="104" t="s">
        <v>102</v>
      </c>
      <c r="B108" s="104"/>
      <c r="C108" s="125" t="s">
        <v>292</v>
      </c>
      <c r="D108" s="123" t="s">
        <v>293</v>
      </c>
      <c r="E108" s="104" t="s">
        <v>80</v>
      </c>
      <c r="F108" s="104">
        <v>3</v>
      </c>
      <c r="G108" s="124">
        <v>130</v>
      </c>
      <c r="H108" s="87">
        <f t="shared" si="13"/>
        <v>390</v>
      </c>
      <c r="I108" s="144" t="s">
        <v>294</v>
      </c>
      <c r="J108" s="145"/>
      <c r="K108" s="145"/>
    </row>
    <row r="109" s="48" customFormat="1" ht="76" customHeight="1" outlineLevel="1" spans="1:11">
      <c r="A109" s="104" t="s">
        <v>104</v>
      </c>
      <c r="B109" s="104" t="s">
        <v>295</v>
      </c>
      <c r="C109" s="125" t="s">
        <v>296</v>
      </c>
      <c r="D109" s="123" t="s">
        <v>297</v>
      </c>
      <c r="E109" s="104" t="s">
        <v>49</v>
      </c>
      <c r="F109" s="104">
        <v>15</v>
      </c>
      <c r="G109" s="124">
        <v>17</v>
      </c>
      <c r="H109" s="87">
        <f t="shared" si="13"/>
        <v>255</v>
      </c>
      <c r="I109" s="144" t="s">
        <v>298</v>
      </c>
      <c r="J109" s="145"/>
      <c r="K109" s="145"/>
    </row>
    <row r="110" s="48" customFormat="1" ht="77" customHeight="1" outlineLevel="1" spans="1:11">
      <c r="A110" s="104" t="s">
        <v>106</v>
      </c>
      <c r="B110" s="104" t="s">
        <v>295</v>
      </c>
      <c r="C110" s="125" t="s">
        <v>296</v>
      </c>
      <c r="D110" s="123" t="s">
        <v>299</v>
      </c>
      <c r="E110" s="104" t="s">
        <v>49</v>
      </c>
      <c r="F110" s="104">
        <v>30</v>
      </c>
      <c r="G110" s="124">
        <v>14</v>
      </c>
      <c r="H110" s="87">
        <f t="shared" si="13"/>
        <v>420</v>
      </c>
      <c r="I110" s="144" t="s">
        <v>298</v>
      </c>
      <c r="J110" s="145"/>
      <c r="K110" s="145"/>
    </row>
    <row r="111" s="48" customFormat="1" ht="77" customHeight="1" outlineLevel="1" spans="1:11">
      <c r="A111" s="104" t="s">
        <v>110</v>
      </c>
      <c r="B111" s="104" t="s">
        <v>295</v>
      </c>
      <c r="C111" s="125" t="s">
        <v>296</v>
      </c>
      <c r="D111" s="123" t="s">
        <v>300</v>
      </c>
      <c r="E111" s="104" t="s">
        <v>49</v>
      </c>
      <c r="F111" s="104">
        <v>431</v>
      </c>
      <c r="G111" s="124">
        <v>12</v>
      </c>
      <c r="H111" s="87">
        <f t="shared" si="13"/>
        <v>5172</v>
      </c>
      <c r="I111" s="144" t="s">
        <v>298</v>
      </c>
      <c r="J111" s="145"/>
      <c r="K111" s="145"/>
    </row>
    <row r="112" s="48" customFormat="1" ht="77" customHeight="1" outlineLevel="1" spans="1:11">
      <c r="A112" s="104" t="s">
        <v>116</v>
      </c>
      <c r="B112" s="104" t="s">
        <v>295</v>
      </c>
      <c r="C112" s="125" t="s">
        <v>296</v>
      </c>
      <c r="D112" s="123" t="s">
        <v>301</v>
      </c>
      <c r="E112" s="104" t="s">
        <v>49</v>
      </c>
      <c r="F112" s="104">
        <v>6</v>
      </c>
      <c r="G112" s="124">
        <v>10</v>
      </c>
      <c r="H112" s="87">
        <f t="shared" si="13"/>
        <v>60</v>
      </c>
      <c r="I112" s="144" t="s">
        <v>298</v>
      </c>
      <c r="J112" s="145"/>
      <c r="K112" s="145"/>
    </row>
    <row r="113" s="48" customFormat="1" ht="77" customHeight="1" outlineLevel="1" spans="1:11">
      <c r="A113" s="104" t="s">
        <v>118</v>
      </c>
      <c r="B113" s="104" t="s">
        <v>295</v>
      </c>
      <c r="C113" s="125" t="s">
        <v>296</v>
      </c>
      <c r="D113" s="123" t="s">
        <v>302</v>
      </c>
      <c r="E113" s="104" t="s">
        <v>49</v>
      </c>
      <c r="F113" s="104">
        <v>314</v>
      </c>
      <c r="G113" s="124">
        <v>8</v>
      </c>
      <c r="H113" s="87">
        <f t="shared" si="13"/>
        <v>2512</v>
      </c>
      <c r="I113" s="144" t="s">
        <v>298</v>
      </c>
      <c r="J113" s="145"/>
      <c r="K113" s="145"/>
    </row>
    <row r="114" s="48" customFormat="1" ht="76" customHeight="1" outlineLevel="1" spans="1:11">
      <c r="A114" s="104" t="s">
        <v>120</v>
      </c>
      <c r="B114" s="104"/>
      <c r="C114" s="125" t="s">
        <v>303</v>
      </c>
      <c r="D114" s="123" t="s">
        <v>304</v>
      </c>
      <c r="E114" s="104" t="s">
        <v>80</v>
      </c>
      <c r="F114" s="104">
        <v>186</v>
      </c>
      <c r="G114" s="124">
        <v>4</v>
      </c>
      <c r="H114" s="87">
        <f t="shared" si="13"/>
        <v>744</v>
      </c>
      <c r="I114" s="144" t="s">
        <v>305</v>
      </c>
      <c r="J114" s="145"/>
      <c r="K114" s="145"/>
    </row>
    <row r="115" s="48" customFormat="1" ht="76" customHeight="1" outlineLevel="1" spans="1:11">
      <c r="A115" s="104" t="s">
        <v>122</v>
      </c>
      <c r="B115" s="104"/>
      <c r="C115" s="125" t="s">
        <v>303</v>
      </c>
      <c r="D115" s="123" t="s">
        <v>306</v>
      </c>
      <c r="E115" s="104" t="s">
        <v>80</v>
      </c>
      <c r="F115" s="104">
        <v>76</v>
      </c>
      <c r="G115" s="124">
        <v>4</v>
      </c>
      <c r="H115" s="87">
        <f t="shared" si="13"/>
        <v>304</v>
      </c>
      <c r="I115" s="144" t="s">
        <v>305</v>
      </c>
      <c r="J115" s="145"/>
      <c r="K115" s="145"/>
    </row>
    <row r="116" s="48" customFormat="1" ht="54" customHeight="1" outlineLevel="1" spans="1:11">
      <c r="A116" s="104" t="s">
        <v>126</v>
      </c>
      <c r="B116" s="104"/>
      <c r="C116" s="125" t="s">
        <v>307</v>
      </c>
      <c r="D116" s="123" t="s">
        <v>308</v>
      </c>
      <c r="E116" s="104" t="s">
        <v>80</v>
      </c>
      <c r="F116" s="104">
        <v>3</v>
      </c>
      <c r="G116" s="124">
        <v>20</v>
      </c>
      <c r="H116" s="87">
        <f t="shared" si="13"/>
        <v>60</v>
      </c>
      <c r="I116" s="144" t="s">
        <v>290</v>
      </c>
      <c r="J116" s="145"/>
      <c r="K116" s="145"/>
    </row>
    <row r="117" s="48" customFormat="1" ht="53" customHeight="1" outlineLevel="1" spans="1:11">
      <c r="A117" s="104" t="s">
        <v>175</v>
      </c>
      <c r="B117" s="104"/>
      <c r="C117" s="125" t="s">
        <v>307</v>
      </c>
      <c r="D117" s="123" t="s">
        <v>309</v>
      </c>
      <c r="E117" s="104" t="s">
        <v>80</v>
      </c>
      <c r="F117" s="104">
        <v>3</v>
      </c>
      <c r="G117" s="124">
        <v>14</v>
      </c>
      <c r="H117" s="87">
        <f t="shared" si="13"/>
        <v>42</v>
      </c>
      <c r="I117" s="144" t="str">
        <f t="shared" ref="I117:I122" si="14">I116</f>
        <v>切管、坡口、清理工作面、管件安装</v>
      </c>
      <c r="J117" s="145"/>
      <c r="K117" s="145"/>
    </row>
    <row r="118" s="48" customFormat="1" ht="53" customHeight="1" outlineLevel="1" spans="1:11">
      <c r="A118" s="104" t="s">
        <v>178</v>
      </c>
      <c r="B118" s="104"/>
      <c r="C118" s="125" t="s">
        <v>307</v>
      </c>
      <c r="D118" s="123" t="s">
        <v>310</v>
      </c>
      <c r="E118" s="104" t="s">
        <v>80</v>
      </c>
      <c r="F118" s="104">
        <v>9</v>
      </c>
      <c r="G118" s="124">
        <v>9</v>
      </c>
      <c r="H118" s="87">
        <f t="shared" si="13"/>
        <v>81</v>
      </c>
      <c r="I118" s="144" t="str">
        <f t="shared" si="14"/>
        <v>切管、坡口、清理工作面、管件安装</v>
      </c>
      <c r="J118" s="145"/>
      <c r="K118" s="145"/>
    </row>
    <row r="119" s="48" customFormat="1" ht="53" customHeight="1" outlineLevel="1" spans="1:11">
      <c r="A119" s="104" t="s">
        <v>181</v>
      </c>
      <c r="B119" s="104"/>
      <c r="C119" s="125" t="s">
        <v>307</v>
      </c>
      <c r="D119" s="123" t="s">
        <v>311</v>
      </c>
      <c r="E119" s="104" t="s">
        <v>80</v>
      </c>
      <c r="F119" s="104">
        <v>262</v>
      </c>
      <c r="G119" s="124">
        <f>G118</f>
        <v>9</v>
      </c>
      <c r="H119" s="87">
        <f t="shared" si="13"/>
        <v>2358</v>
      </c>
      <c r="I119" s="144" t="str">
        <f t="shared" si="14"/>
        <v>切管、坡口、清理工作面、管件安装</v>
      </c>
      <c r="J119" s="145"/>
      <c r="K119" s="145"/>
    </row>
    <row r="120" s="48" customFormat="1" ht="53" customHeight="1" outlineLevel="1" spans="1:11">
      <c r="A120" s="104" t="s">
        <v>184</v>
      </c>
      <c r="B120" s="104"/>
      <c r="C120" s="125" t="s">
        <v>312</v>
      </c>
      <c r="D120" s="123" t="s">
        <v>313</v>
      </c>
      <c r="E120" s="104" t="s">
        <v>80</v>
      </c>
      <c r="F120" s="104">
        <v>2</v>
      </c>
      <c r="G120" s="124">
        <f>G116</f>
        <v>20</v>
      </c>
      <c r="H120" s="87">
        <f t="shared" si="13"/>
        <v>40</v>
      </c>
      <c r="I120" s="144" t="str">
        <f t="shared" si="14"/>
        <v>切管、坡口、清理工作面、管件安装</v>
      </c>
      <c r="J120" s="145"/>
      <c r="K120" s="145"/>
    </row>
    <row r="121" s="48" customFormat="1" ht="53" customHeight="1" outlineLevel="1" spans="1:11">
      <c r="A121" s="104" t="s">
        <v>186</v>
      </c>
      <c r="B121" s="104"/>
      <c r="C121" s="125" t="s">
        <v>312</v>
      </c>
      <c r="D121" s="123" t="s">
        <v>314</v>
      </c>
      <c r="E121" s="104" t="s">
        <v>80</v>
      </c>
      <c r="F121" s="104">
        <v>9</v>
      </c>
      <c r="G121" s="124">
        <f>G117</f>
        <v>14</v>
      </c>
      <c r="H121" s="87">
        <f t="shared" si="13"/>
        <v>126</v>
      </c>
      <c r="I121" s="144" t="str">
        <f t="shared" si="14"/>
        <v>切管、坡口、清理工作面、管件安装</v>
      </c>
      <c r="J121" s="145"/>
      <c r="K121" s="145"/>
    </row>
    <row r="122" s="48" customFormat="1" ht="53" customHeight="1" outlineLevel="1" spans="1:11">
      <c r="A122" s="104" t="s">
        <v>191</v>
      </c>
      <c r="B122" s="104"/>
      <c r="C122" s="125" t="s">
        <v>312</v>
      </c>
      <c r="D122" s="123" t="s">
        <v>315</v>
      </c>
      <c r="E122" s="104" t="s">
        <v>80</v>
      </c>
      <c r="F122" s="104">
        <v>262</v>
      </c>
      <c r="G122" s="124">
        <v>3</v>
      </c>
      <c r="H122" s="87">
        <f t="shared" si="13"/>
        <v>786</v>
      </c>
      <c r="I122" s="144" t="str">
        <f t="shared" si="14"/>
        <v>切管、坡口、清理工作面、管件安装</v>
      </c>
      <c r="J122" s="145"/>
      <c r="K122" s="145"/>
    </row>
    <row r="123" s="48" customFormat="1" ht="63" customHeight="1" outlineLevel="1" spans="1:11">
      <c r="A123" s="104" t="s">
        <v>194</v>
      </c>
      <c r="B123" s="104"/>
      <c r="C123" s="125" t="s">
        <v>316</v>
      </c>
      <c r="D123" s="123" t="s">
        <v>317</v>
      </c>
      <c r="E123" s="104" t="s">
        <v>80</v>
      </c>
      <c r="F123" s="104">
        <v>1</v>
      </c>
      <c r="G123" s="124">
        <v>80</v>
      </c>
      <c r="H123" s="87">
        <f t="shared" si="13"/>
        <v>80</v>
      </c>
      <c r="I123" s="144" t="s">
        <v>318</v>
      </c>
      <c r="J123" s="145"/>
      <c r="K123" s="145"/>
    </row>
    <row r="124" s="48" customFormat="1" ht="52" customHeight="1" outlineLevel="1" spans="1:11">
      <c r="A124" s="104" t="s">
        <v>197</v>
      </c>
      <c r="B124" s="104"/>
      <c r="C124" s="125" t="s">
        <v>319</v>
      </c>
      <c r="D124" s="123" t="s">
        <v>320</v>
      </c>
      <c r="E124" s="104" t="s">
        <v>114</v>
      </c>
      <c r="F124" s="104">
        <v>9</v>
      </c>
      <c r="G124" s="124">
        <v>32</v>
      </c>
      <c r="H124" s="87">
        <f t="shared" si="13"/>
        <v>288</v>
      </c>
      <c r="I124" s="144" t="s">
        <v>321</v>
      </c>
      <c r="J124" s="145"/>
      <c r="K124" s="145"/>
    </row>
    <row r="125" s="48" customFormat="1" ht="63" customHeight="1" outlineLevel="1" spans="1:17">
      <c r="A125" s="104" t="s">
        <v>200</v>
      </c>
      <c r="B125" s="104"/>
      <c r="C125" s="122" t="s">
        <v>224</v>
      </c>
      <c r="D125" s="123" t="s">
        <v>225</v>
      </c>
      <c r="E125" s="104" t="s">
        <v>20</v>
      </c>
      <c r="F125" s="104">
        <f>168.09+20.7</f>
        <v>188.79</v>
      </c>
      <c r="G125" s="124"/>
      <c r="H125" s="87">
        <f t="shared" si="13"/>
        <v>0</v>
      </c>
      <c r="I125" s="144"/>
      <c r="J125" s="145"/>
      <c r="K125" s="145"/>
      <c r="L125" s="48" t="s">
        <v>322</v>
      </c>
      <c r="M125" s="159" t="s">
        <v>242</v>
      </c>
      <c r="N125" s="160" t="s">
        <v>227</v>
      </c>
      <c r="O125" s="160" t="s">
        <v>243</v>
      </c>
      <c r="P125" s="160" t="s">
        <v>233</v>
      </c>
      <c r="Q125" s="48" t="s">
        <v>244</v>
      </c>
    </row>
    <row r="126" s="48" customFormat="1" ht="63" customHeight="1" outlineLevel="1" spans="1:17">
      <c r="A126" s="104" t="s">
        <v>203</v>
      </c>
      <c r="B126" s="104"/>
      <c r="C126" s="122" t="s">
        <v>227</v>
      </c>
      <c r="D126" s="123" t="s">
        <v>323</v>
      </c>
      <c r="E126" s="104" t="s">
        <v>20</v>
      </c>
      <c r="F126" s="104">
        <f>38.79+2.7</f>
        <v>41.49</v>
      </c>
      <c r="G126" s="124"/>
      <c r="H126" s="87">
        <f t="shared" si="13"/>
        <v>0</v>
      </c>
      <c r="I126" s="144"/>
      <c r="J126" s="145"/>
      <c r="K126" s="150">
        <f>F111</f>
        <v>431</v>
      </c>
      <c r="L126" s="48" t="s">
        <v>324</v>
      </c>
      <c r="M126" s="48">
        <f>0.5+0.15</f>
        <v>0.65</v>
      </c>
      <c r="N126" s="48">
        <f>0.6*0.15*K126</f>
        <v>38.79</v>
      </c>
      <c r="P126" s="161">
        <f>Q126-N126</f>
        <v>129.3</v>
      </c>
      <c r="Q126" s="161">
        <f>0.6*M126*K126</f>
        <v>168.09</v>
      </c>
    </row>
    <row r="127" s="48" customFormat="1" ht="63" customHeight="1" outlineLevel="1" spans="1:17">
      <c r="A127" s="104">
        <v>23</v>
      </c>
      <c r="B127" s="104"/>
      <c r="C127" s="122" t="s">
        <v>233</v>
      </c>
      <c r="D127" s="123" t="s">
        <v>234</v>
      </c>
      <c r="E127" s="104" t="s">
        <v>20</v>
      </c>
      <c r="F127" s="104">
        <f>129.3+18</f>
        <v>147.3</v>
      </c>
      <c r="G127" s="124"/>
      <c r="H127" s="87">
        <f t="shared" si="13"/>
        <v>0</v>
      </c>
      <c r="I127" s="144"/>
      <c r="J127" s="145"/>
      <c r="K127" s="150">
        <f>F110</f>
        <v>30</v>
      </c>
      <c r="L127" s="48" t="s">
        <v>325</v>
      </c>
      <c r="M127" s="48">
        <f>1+0.15</f>
        <v>1.15</v>
      </c>
      <c r="N127" s="48">
        <f>0.6*0.15*K127</f>
        <v>2.7</v>
      </c>
      <c r="P127" s="48">
        <f>Q127-N127</f>
        <v>18</v>
      </c>
      <c r="Q127" s="48">
        <f>0.6*M127*K127</f>
        <v>20.7</v>
      </c>
    </row>
    <row r="128" s="48" customFormat="1" ht="22.5" spans="1:11">
      <c r="A128" s="114" t="s">
        <v>326</v>
      </c>
      <c r="B128" s="114"/>
      <c r="C128" s="153" t="s">
        <v>327</v>
      </c>
      <c r="D128" s="154"/>
      <c r="E128" s="155"/>
      <c r="F128" s="155"/>
      <c r="G128" s="156"/>
      <c r="H128" s="157">
        <f>SUM(H129:H137)</f>
        <v>14441</v>
      </c>
      <c r="I128" s="142"/>
      <c r="J128" s="143"/>
      <c r="K128" s="143"/>
    </row>
    <row r="129" s="48" customFormat="1" ht="243" customHeight="1" outlineLevel="1" spans="1:11">
      <c r="A129" s="104">
        <v>1</v>
      </c>
      <c r="B129" s="104" t="s">
        <v>328</v>
      </c>
      <c r="C129" s="125" t="s">
        <v>329</v>
      </c>
      <c r="D129" s="123" t="s">
        <v>330</v>
      </c>
      <c r="E129" s="104" t="s">
        <v>114</v>
      </c>
      <c r="F129" s="104">
        <v>10</v>
      </c>
      <c r="G129" s="124">
        <v>400</v>
      </c>
      <c r="H129" s="87">
        <f t="shared" ref="H129:H137" si="15">ROUND(G129*F129,2)</f>
        <v>4000</v>
      </c>
      <c r="I129" s="144" t="s">
        <v>331</v>
      </c>
      <c r="J129" s="145"/>
      <c r="K129" s="145"/>
    </row>
    <row r="130" s="48" customFormat="1" ht="54" customHeight="1" outlineLevel="1" spans="1:11">
      <c r="A130" s="104">
        <v>2</v>
      </c>
      <c r="B130" s="104" t="s">
        <v>332</v>
      </c>
      <c r="C130" s="125" t="s">
        <v>333</v>
      </c>
      <c r="D130" s="123" t="s">
        <v>334</v>
      </c>
      <c r="E130" s="104" t="s">
        <v>49</v>
      </c>
      <c r="F130" s="104">
        <v>100</v>
      </c>
      <c r="G130" s="124">
        <v>1</v>
      </c>
      <c r="H130" s="87">
        <f t="shared" si="15"/>
        <v>100</v>
      </c>
      <c r="I130" s="144" t="s">
        <v>335</v>
      </c>
      <c r="J130" s="145"/>
      <c r="K130" s="145"/>
    </row>
    <row r="131" s="48" customFormat="1" ht="56.25" outlineLevel="1" spans="1:11">
      <c r="A131" s="104">
        <v>3</v>
      </c>
      <c r="B131" s="104" t="s">
        <v>336</v>
      </c>
      <c r="C131" s="125" t="s">
        <v>337</v>
      </c>
      <c r="D131" s="123" t="s">
        <v>338</v>
      </c>
      <c r="E131" s="104" t="s">
        <v>80</v>
      </c>
      <c r="F131" s="104">
        <v>10</v>
      </c>
      <c r="G131" s="124">
        <v>22</v>
      </c>
      <c r="H131" s="87">
        <f t="shared" si="15"/>
        <v>220</v>
      </c>
      <c r="I131" s="144" t="s">
        <v>339</v>
      </c>
      <c r="J131" s="145"/>
      <c r="K131" s="145"/>
    </row>
    <row r="132" s="48" customFormat="1" ht="45" outlineLevel="1" spans="1:11">
      <c r="A132" s="104">
        <v>4</v>
      </c>
      <c r="B132" s="163" t="s">
        <v>340</v>
      </c>
      <c r="C132" s="164" t="s">
        <v>341</v>
      </c>
      <c r="D132" s="123" t="s">
        <v>342</v>
      </c>
      <c r="E132" s="165" t="s">
        <v>49</v>
      </c>
      <c r="F132" s="104">
        <f>4*18</f>
        <v>72</v>
      </c>
      <c r="G132" s="124">
        <v>18</v>
      </c>
      <c r="H132" s="87">
        <f t="shared" si="15"/>
        <v>1296</v>
      </c>
      <c r="I132" s="144" t="s">
        <v>343</v>
      </c>
      <c r="J132" s="145"/>
      <c r="K132" s="145"/>
    </row>
    <row r="133" s="48" customFormat="1" ht="64" customHeight="1" outlineLevel="1" spans="1:11">
      <c r="A133" s="104">
        <v>5</v>
      </c>
      <c r="B133" s="163"/>
      <c r="C133" s="164" t="s">
        <v>344</v>
      </c>
      <c r="D133" s="123" t="s">
        <v>345</v>
      </c>
      <c r="E133" s="165" t="s">
        <v>49</v>
      </c>
      <c r="F133" s="104">
        <v>329</v>
      </c>
      <c r="G133" s="124">
        <v>13</v>
      </c>
      <c r="H133" s="87">
        <f t="shared" si="15"/>
        <v>4277</v>
      </c>
      <c r="I133" s="144" t="s">
        <v>346</v>
      </c>
      <c r="J133" s="145"/>
      <c r="K133" s="145"/>
    </row>
    <row r="134" s="48" customFormat="1" ht="45" outlineLevel="1" spans="1:11">
      <c r="A134" s="104">
        <v>7</v>
      </c>
      <c r="B134" s="166"/>
      <c r="C134" s="164" t="s">
        <v>347</v>
      </c>
      <c r="D134" s="123" t="s">
        <v>348</v>
      </c>
      <c r="E134" s="165" t="s">
        <v>49</v>
      </c>
      <c r="F134" s="104">
        <v>279</v>
      </c>
      <c r="G134" s="124">
        <v>12</v>
      </c>
      <c r="H134" s="87">
        <f t="shared" si="15"/>
        <v>3348</v>
      </c>
      <c r="I134" s="144" t="s">
        <v>349</v>
      </c>
      <c r="J134" s="145"/>
      <c r="K134" s="145"/>
    </row>
    <row r="135" s="48" customFormat="1" ht="125" customHeight="1" outlineLevel="1" spans="1:11">
      <c r="A135" s="104">
        <v>8</v>
      </c>
      <c r="B135" s="167" t="s">
        <v>350</v>
      </c>
      <c r="C135" s="168" t="s">
        <v>351</v>
      </c>
      <c r="D135" s="123" t="s">
        <v>352</v>
      </c>
      <c r="E135" s="163" t="s">
        <v>157</v>
      </c>
      <c r="F135" s="104">
        <v>2</v>
      </c>
      <c r="G135" s="124">
        <v>600</v>
      </c>
      <c r="H135" s="87">
        <f t="shared" si="15"/>
        <v>1200</v>
      </c>
      <c r="I135" s="144" t="s">
        <v>353</v>
      </c>
      <c r="J135" s="145"/>
      <c r="K135" s="145"/>
    </row>
    <row r="136" s="48" customFormat="1" ht="45" outlineLevel="1" spans="1:11">
      <c r="A136" s="104">
        <v>9</v>
      </c>
      <c r="B136" s="167"/>
      <c r="C136" s="169" t="s">
        <v>354</v>
      </c>
      <c r="D136" s="123" t="s">
        <v>355</v>
      </c>
      <c r="E136" s="163" t="s">
        <v>17</v>
      </c>
      <c r="F136" s="104">
        <v>18</v>
      </c>
      <c r="G136" s="124"/>
      <c r="H136" s="87">
        <f t="shared" si="15"/>
        <v>0</v>
      </c>
      <c r="I136" s="144"/>
      <c r="J136" s="145"/>
      <c r="K136" s="145"/>
    </row>
    <row r="137" s="48" customFormat="1" ht="45" outlineLevel="1" spans="1:11">
      <c r="A137" s="104">
        <v>10</v>
      </c>
      <c r="B137" s="167"/>
      <c r="C137" s="169" t="s">
        <v>356</v>
      </c>
      <c r="D137" s="123" t="s">
        <v>357</v>
      </c>
      <c r="E137" s="163" t="s">
        <v>17</v>
      </c>
      <c r="F137" s="104">
        <f>72*0.6</f>
        <v>43.2</v>
      </c>
      <c r="G137" s="124"/>
      <c r="H137" s="87">
        <f t="shared" si="15"/>
        <v>0</v>
      </c>
      <c r="I137" s="144"/>
      <c r="J137" s="145"/>
      <c r="K137" s="145"/>
    </row>
    <row r="138" s="48" customFormat="1" ht="22.5" spans="1:11">
      <c r="A138" s="170" t="s">
        <v>358</v>
      </c>
      <c r="B138" s="171"/>
      <c r="C138" s="153" t="s">
        <v>359</v>
      </c>
      <c r="D138" s="172"/>
      <c r="E138" s="170"/>
      <c r="F138" s="173"/>
      <c r="G138" s="174"/>
      <c r="H138" s="157">
        <f>SUM(H140:H152)</f>
        <v>37230</v>
      </c>
      <c r="I138" s="142"/>
      <c r="J138" s="143"/>
      <c r="K138" s="143"/>
    </row>
    <row r="139" s="48" customFormat="1" ht="25" customHeight="1" outlineLevel="1" spans="1:11">
      <c r="A139" s="163" t="s">
        <v>13</v>
      </c>
      <c r="B139" s="163"/>
      <c r="C139" s="175" t="s">
        <v>360</v>
      </c>
      <c r="D139" s="168" t="s">
        <v>13</v>
      </c>
      <c r="E139" s="163" t="s">
        <v>13</v>
      </c>
      <c r="F139" s="176" t="s">
        <v>13</v>
      </c>
      <c r="G139" s="177"/>
      <c r="H139" s="178"/>
      <c r="I139" s="192"/>
      <c r="J139" s="193"/>
      <c r="K139" s="193"/>
    </row>
    <row r="140" s="48" customFormat="1" ht="129" customHeight="1" outlineLevel="1" spans="1:11">
      <c r="A140" s="163" t="s">
        <v>92</v>
      </c>
      <c r="B140" s="163"/>
      <c r="C140" s="169" t="s">
        <v>361</v>
      </c>
      <c r="D140" s="168" t="s">
        <v>362</v>
      </c>
      <c r="E140" s="163" t="s">
        <v>363</v>
      </c>
      <c r="F140" s="176">
        <v>45</v>
      </c>
      <c r="G140" s="177"/>
      <c r="H140" s="87">
        <f t="shared" ref="H140:H152" si="16">ROUND(G140*F140,2)</f>
        <v>0</v>
      </c>
      <c r="I140" s="144"/>
      <c r="J140" s="145"/>
      <c r="K140" s="145"/>
    </row>
    <row r="141" s="48" customFormat="1" ht="96" customHeight="1" outlineLevel="1" spans="1:11">
      <c r="A141" s="163" t="s">
        <v>95</v>
      </c>
      <c r="B141" s="163"/>
      <c r="C141" s="169" t="s">
        <v>364</v>
      </c>
      <c r="D141" s="168" t="s">
        <v>365</v>
      </c>
      <c r="E141" s="163" t="s">
        <v>17</v>
      </c>
      <c r="F141" s="176">
        <v>270</v>
      </c>
      <c r="G141" s="177"/>
      <c r="H141" s="87">
        <f t="shared" si="16"/>
        <v>0</v>
      </c>
      <c r="I141" s="144"/>
      <c r="J141" s="145"/>
      <c r="K141" s="145"/>
    </row>
    <row r="142" s="48" customFormat="1" ht="94" customHeight="1" outlineLevel="1" spans="1:11">
      <c r="A142" s="163" t="s">
        <v>100</v>
      </c>
      <c r="B142" s="163"/>
      <c r="C142" s="169" t="s">
        <v>366</v>
      </c>
      <c r="D142" s="168" t="s">
        <v>367</v>
      </c>
      <c r="E142" s="163" t="s">
        <v>17</v>
      </c>
      <c r="F142" s="176">
        <v>132</v>
      </c>
      <c r="G142" s="177"/>
      <c r="H142" s="87">
        <f t="shared" si="16"/>
        <v>0</v>
      </c>
      <c r="I142" s="144"/>
      <c r="J142" s="145"/>
      <c r="K142" s="145"/>
    </row>
    <row r="143" s="48" customFormat="1" ht="67" customHeight="1" outlineLevel="1" spans="1:11">
      <c r="A143" s="163" t="s">
        <v>102</v>
      </c>
      <c r="B143" s="163"/>
      <c r="C143" s="169" t="s">
        <v>368</v>
      </c>
      <c r="D143" s="168" t="s">
        <v>369</v>
      </c>
      <c r="E143" s="163" t="s">
        <v>17</v>
      </c>
      <c r="F143" s="176">
        <v>360</v>
      </c>
      <c r="G143" s="177"/>
      <c r="H143" s="87">
        <f t="shared" si="16"/>
        <v>0</v>
      </c>
      <c r="I143" s="144"/>
      <c r="J143" s="145"/>
      <c r="K143" s="145"/>
    </row>
    <row r="144" s="48" customFormat="1" ht="48" outlineLevel="1" spans="1:11">
      <c r="A144" s="163" t="s">
        <v>104</v>
      </c>
      <c r="B144" s="163"/>
      <c r="C144" s="169" t="s">
        <v>370</v>
      </c>
      <c r="D144" s="168" t="s">
        <v>371</v>
      </c>
      <c r="E144" s="163" t="s">
        <v>20</v>
      </c>
      <c r="F144" s="176">
        <f>108+121</f>
        <v>229</v>
      </c>
      <c r="G144" s="177"/>
      <c r="H144" s="87">
        <f t="shared" si="16"/>
        <v>0</v>
      </c>
      <c r="I144" s="144"/>
      <c r="J144" s="145"/>
      <c r="K144" s="145"/>
    </row>
    <row r="145" s="48" customFormat="1" ht="72" customHeight="1" outlineLevel="1" spans="1:11">
      <c r="A145" s="163" t="s">
        <v>120</v>
      </c>
      <c r="B145" s="163"/>
      <c r="C145" s="169" t="s">
        <v>372</v>
      </c>
      <c r="D145" s="168" t="s">
        <v>373</v>
      </c>
      <c r="E145" s="163" t="s">
        <v>114</v>
      </c>
      <c r="F145" s="176">
        <v>45</v>
      </c>
      <c r="G145" s="177"/>
      <c r="H145" s="87">
        <f t="shared" si="16"/>
        <v>0</v>
      </c>
      <c r="I145" s="144"/>
      <c r="J145" s="145"/>
      <c r="K145" s="145"/>
    </row>
    <row r="146" s="48" customFormat="1" ht="25" customHeight="1" outlineLevel="1" spans="1:11">
      <c r="A146" s="163"/>
      <c r="B146" s="163"/>
      <c r="C146" s="175" t="s">
        <v>374</v>
      </c>
      <c r="D146" s="168"/>
      <c r="E146" s="163"/>
      <c r="F146" s="176"/>
      <c r="G146" s="177"/>
      <c r="H146" s="87">
        <f t="shared" si="16"/>
        <v>0</v>
      </c>
      <c r="I146" s="144"/>
      <c r="J146" s="145"/>
      <c r="K146" s="145"/>
    </row>
    <row r="147" s="48" customFormat="1" ht="69" customHeight="1" outlineLevel="1" spans="1:11">
      <c r="A147" s="163" t="s">
        <v>106</v>
      </c>
      <c r="B147" s="163" t="s">
        <v>375</v>
      </c>
      <c r="C147" s="168" t="s">
        <v>376</v>
      </c>
      <c r="D147" s="168" t="s">
        <v>377</v>
      </c>
      <c r="E147" s="163" t="s">
        <v>17</v>
      </c>
      <c r="F147" s="176">
        <v>41</v>
      </c>
      <c r="G147" s="177">
        <v>45</v>
      </c>
      <c r="H147" s="87">
        <f t="shared" si="16"/>
        <v>1845</v>
      </c>
      <c r="I147" s="144" t="s">
        <v>378</v>
      </c>
      <c r="J147" s="145"/>
      <c r="K147" s="145"/>
    </row>
    <row r="148" s="48" customFormat="1" ht="69" customHeight="1" outlineLevel="1" spans="1:11">
      <c r="A148" s="163" t="s">
        <v>110</v>
      </c>
      <c r="B148" s="163" t="s">
        <v>375</v>
      </c>
      <c r="C148" s="168" t="s">
        <v>379</v>
      </c>
      <c r="D148" s="168" t="s">
        <v>380</v>
      </c>
      <c r="E148" s="163" t="s">
        <v>17</v>
      </c>
      <c r="F148" s="176">
        <v>41</v>
      </c>
      <c r="G148" s="177">
        <v>45</v>
      </c>
      <c r="H148" s="87">
        <f t="shared" si="16"/>
        <v>1845</v>
      </c>
      <c r="I148" s="144" t="s">
        <v>378</v>
      </c>
      <c r="J148" s="145"/>
      <c r="K148" s="145"/>
    </row>
    <row r="149" s="48" customFormat="1" ht="69" customHeight="1" outlineLevel="1" spans="1:11">
      <c r="A149" s="163" t="s">
        <v>116</v>
      </c>
      <c r="B149" s="163" t="s">
        <v>375</v>
      </c>
      <c r="C149" s="168" t="s">
        <v>376</v>
      </c>
      <c r="D149" s="168" t="s">
        <v>381</v>
      </c>
      <c r="E149" s="163" t="s">
        <v>17</v>
      </c>
      <c r="F149" s="176">
        <v>370</v>
      </c>
      <c r="G149" s="177">
        <v>45</v>
      </c>
      <c r="H149" s="87">
        <f t="shared" si="16"/>
        <v>16650</v>
      </c>
      <c r="I149" s="144" t="s">
        <v>378</v>
      </c>
      <c r="J149" s="145"/>
      <c r="K149" s="145"/>
    </row>
    <row r="150" s="48" customFormat="1" ht="69" customHeight="1" outlineLevel="1" spans="1:11">
      <c r="A150" s="163" t="s">
        <v>118</v>
      </c>
      <c r="B150" s="163" t="s">
        <v>375</v>
      </c>
      <c r="C150" s="168" t="s">
        <v>379</v>
      </c>
      <c r="D150" s="168" t="s">
        <v>382</v>
      </c>
      <c r="E150" s="163" t="s">
        <v>17</v>
      </c>
      <c r="F150" s="176">
        <v>370</v>
      </c>
      <c r="G150" s="177">
        <v>45</v>
      </c>
      <c r="H150" s="87">
        <f t="shared" si="16"/>
        <v>16650</v>
      </c>
      <c r="I150" s="144" t="s">
        <v>378</v>
      </c>
      <c r="J150" s="145"/>
      <c r="K150" s="145"/>
    </row>
    <row r="151" s="48" customFormat="1" ht="78" customHeight="1" outlineLevel="1" spans="1:11">
      <c r="A151" s="163" t="s">
        <v>122</v>
      </c>
      <c r="B151" s="163"/>
      <c r="C151" s="168" t="s">
        <v>383</v>
      </c>
      <c r="D151" s="168" t="s">
        <v>384</v>
      </c>
      <c r="E151" s="163" t="s">
        <v>114</v>
      </c>
      <c r="F151" s="176">
        <v>4</v>
      </c>
      <c r="G151" s="177">
        <v>30</v>
      </c>
      <c r="H151" s="87">
        <f t="shared" si="16"/>
        <v>120</v>
      </c>
      <c r="I151" s="144" t="s">
        <v>385</v>
      </c>
      <c r="J151" s="145"/>
      <c r="K151" s="145"/>
    </row>
    <row r="152" s="48" customFormat="1" ht="80" customHeight="1" outlineLevel="1" spans="1:11">
      <c r="A152" s="163" t="s">
        <v>126</v>
      </c>
      <c r="B152" s="163"/>
      <c r="C152" s="168" t="s">
        <v>386</v>
      </c>
      <c r="D152" s="168" t="s">
        <v>387</v>
      </c>
      <c r="E152" s="163" t="s">
        <v>114</v>
      </c>
      <c r="F152" s="176">
        <v>4</v>
      </c>
      <c r="G152" s="177">
        <v>30</v>
      </c>
      <c r="H152" s="87">
        <f t="shared" si="16"/>
        <v>120</v>
      </c>
      <c r="I152" s="144" t="s">
        <v>385</v>
      </c>
      <c r="J152" s="145"/>
      <c r="K152" s="145"/>
    </row>
    <row r="153" ht="25" customHeight="1" spans="1:11">
      <c r="A153" s="179" t="s">
        <v>388</v>
      </c>
      <c r="B153" s="180"/>
      <c r="C153" s="181"/>
      <c r="D153" s="115"/>
      <c r="E153" s="114"/>
      <c r="F153" s="114"/>
      <c r="G153" s="182"/>
      <c r="H153" s="183">
        <f>H138+H128+H104+H94+H49+H36+H6</f>
        <v>229221.12</v>
      </c>
      <c r="I153" s="194"/>
      <c r="J153" s="195"/>
      <c r="K153" s="195"/>
    </row>
    <row r="154" ht="25" customHeight="1" spans="1:11">
      <c r="A154" s="184" t="s">
        <v>389</v>
      </c>
      <c r="B154" s="185"/>
      <c r="C154" s="186"/>
      <c r="D154" s="187"/>
      <c r="E154" s="188">
        <v>0.09</v>
      </c>
      <c r="F154" s="187"/>
      <c r="G154" s="189"/>
      <c r="H154" s="183">
        <f>ROUND(H153*E154,2)</f>
        <v>20629.9</v>
      </c>
      <c r="I154" s="196"/>
      <c r="J154" s="197"/>
      <c r="K154" s="197"/>
    </row>
    <row r="155" ht="25" customHeight="1" spans="1:11">
      <c r="A155" s="184" t="s">
        <v>390</v>
      </c>
      <c r="B155" s="185"/>
      <c r="C155" s="186"/>
      <c r="D155" s="190"/>
      <c r="E155" s="191"/>
      <c r="F155" s="191"/>
      <c r="G155" s="189"/>
      <c r="H155" s="183">
        <f>SUM(H153:H154)</f>
        <v>249851.02</v>
      </c>
      <c r="I155" s="196"/>
      <c r="J155" s="197"/>
      <c r="K155" s="197"/>
    </row>
    <row r="156" ht="7" customHeight="1"/>
  </sheetData>
  <autoFilter ref="A1:H156">
    <extLst/>
  </autoFilter>
  <mergeCells count="15">
    <mergeCell ref="A1:H1"/>
    <mergeCell ref="A3:H3"/>
    <mergeCell ref="A153:C153"/>
    <mergeCell ref="A154:C154"/>
    <mergeCell ref="A155:C15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59:J60"/>
  </mergeCells>
  <printOptions horizontalCentered="1"/>
  <pageMargins left="0.0777777777777778" right="0.0777777777777778" top="0.235416666666667" bottom="0.235416666666667" header="0.5" footer="0.118055555555556"/>
  <pageSetup paperSize="9" scale="72" fitToHeight="0" orientation="portrait" horizontalDpi="600"/>
  <headerFooter>
    <oddFooter>&amp;C第 &amp;P 页，共 &amp;N 页</oddFooter>
  </headerFooter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view="pageBreakPreview" zoomScale="115" zoomScaleNormal="100" workbookViewId="0">
      <selection activeCell="F6" sqref="F6:F8"/>
    </sheetView>
  </sheetViews>
  <sheetFormatPr defaultColWidth="9.33333333333333" defaultRowHeight="11.25" outlineLevelCol="7"/>
  <cols>
    <col min="1" max="1" width="6.33333333333333" style="7" customWidth="1"/>
    <col min="2" max="2" width="29.3333333333333" customWidth="1"/>
    <col min="3" max="3" width="32.6666666666667" customWidth="1"/>
    <col min="4" max="4" width="10" customWidth="1"/>
    <col min="5" max="5" width="15" customWidth="1"/>
    <col min="6" max="7" width="15.8333333333333" customWidth="1"/>
    <col min="8" max="8" width="14"/>
    <col min="9" max="9" width="13"/>
    <col min="10" max="10" width="12"/>
    <col min="11" max="11" width="13"/>
  </cols>
  <sheetData>
    <row r="1" ht="59" customHeight="1" spans="1:8">
      <c r="A1" s="8" t="s">
        <v>391</v>
      </c>
      <c r="B1" s="8"/>
      <c r="C1" s="8"/>
      <c r="D1" s="8"/>
      <c r="E1" s="9"/>
      <c r="F1" s="8"/>
      <c r="G1" s="10"/>
      <c r="H1" s="11"/>
    </row>
    <row r="2" customFormat="1" ht="21" customHeight="1" spans="1:8">
      <c r="A2" s="12" t="s">
        <v>392</v>
      </c>
      <c r="B2" s="12"/>
      <c r="C2" s="12"/>
      <c r="D2" s="12"/>
      <c r="E2" s="13"/>
      <c r="F2" s="12"/>
      <c r="G2" s="14"/>
      <c r="H2" s="15"/>
    </row>
    <row r="3" customFormat="1" ht="24" customHeight="1" spans="1:8">
      <c r="A3" s="16" t="s">
        <v>2</v>
      </c>
      <c r="B3" s="16" t="s">
        <v>393</v>
      </c>
      <c r="C3" s="16" t="s">
        <v>394</v>
      </c>
      <c r="D3" s="16" t="s">
        <v>395</v>
      </c>
      <c r="E3" s="17" t="s">
        <v>396</v>
      </c>
      <c r="F3" s="16" t="s">
        <v>397</v>
      </c>
      <c r="G3" s="18" t="s">
        <v>398</v>
      </c>
      <c r="H3" s="19" t="s">
        <v>399</v>
      </c>
    </row>
    <row r="4" customFormat="1" ht="29" customHeight="1" spans="1:8">
      <c r="A4" s="16"/>
      <c r="B4" s="16"/>
      <c r="C4" s="16"/>
      <c r="D4" s="16"/>
      <c r="E4" s="17"/>
      <c r="F4" s="16"/>
      <c r="G4" s="18"/>
      <c r="H4" s="19"/>
    </row>
    <row r="5" customFormat="1" ht="29" customHeight="1" spans="1:8">
      <c r="A5" s="20" t="s">
        <v>11</v>
      </c>
      <c r="B5" s="21" t="s">
        <v>400</v>
      </c>
      <c r="C5" s="21"/>
      <c r="D5" s="22"/>
      <c r="E5" s="23"/>
      <c r="F5" s="24"/>
      <c r="G5" s="24">
        <f>G9</f>
        <v>0</v>
      </c>
      <c r="H5" s="24"/>
    </row>
    <row r="6" customFormat="1" ht="29" customHeight="1" spans="1:8">
      <c r="A6" s="25">
        <v>1</v>
      </c>
      <c r="B6" s="26" t="s">
        <v>401</v>
      </c>
      <c r="C6" s="26"/>
      <c r="D6" s="27" t="s">
        <v>20</v>
      </c>
      <c r="E6" s="28">
        <f>805+34</f>
        <v>839</v>
      </c>
      <c r="F6" s="29"/>
      <c r="G6" s="29">
        <f>ROUND(F6*E6,2)</f>
        <v>0</v>
      </c>
      <c r="H6" s="30"/>
    </row>
    <row r="7" customFormat="1" ht="29" customHeight="1" spans="1:8">
      <c r="A7" s="25">
        <v>2</v>
      </c>
      <c r="B7" s="26" t="s">
        <v>402</v>
      </c>
      <c r="C7" s="31" t="s">
        <v>403</v>
      </c>
      <c r="D7" s="27" t="s">
        <v>20</v>
      </c>
      <c r="E7" s="28">
        <v>20</v>
      </c>
      <c r="F7" s="29"/>
      <c r="G7" s="29">
        <f>ROUND(F7*E7,2)</f>
        <v>0</v>
      </c>
      <c r="H7" s="30"/>
    </row>
    <row r="8" customFormat="1" ht="29" customHeight="1" spans="1:8">
      <c r="A8" s="25">
        <v>3</v>
      </c>
      <c r="B8" s="26" t="s">
        <v>404</v>
      </c>
      <c r="C8" s="26" t="s">
        <v>405</v>
      </c>
      <c r="D8" s="27" t="s">
        <v>20</v>
      </c>
      <c r="E8" s="28">
        <f>91+27+44</f>
        <v>162</v>
      </c>
      <c r="F8" s="29"/>
      <c r="G8" s="29">
        <f>ROUND(F8*E8,2)</f>
        <v>0</v>
      </c>
      <c r="H8" s="30"/>
    </row>
    <row r="9" s="6" customFormat="1" ht="28" customHeight="1" spans="1:8">
      <c r="A9" s="25">
        <v>4</v>
      </c>
      <c r="B9" s="32" t="s">
        <v>406</v>
      </c>
      <c r="C9" s="32"/>
      <c r="D9" s="33" t="s">
        <v>407</v>
      </c>
      <c r="E9" s="34"/>
      <c r="F9" s="35"/>
      <c r="G9" s="36">
        <f>SUM(G6:G8)</f>
        <v>0</v>
      </c>
      <c r="H9" s="37"/>
    </row>
    <row r="10" s="6" customFormat="1" ht="28" customHeight="1" spans="1:8">
      <c r="A10" s="25">
        <v>5</v>
      </c>
      <c r="B10" s="32" t="s">
        <v>408</v>
      </c>
      <c r="C10" s="38">
        <v>0.03</v>
      </c>
      <c r="D10" s="33" t="s">
        <v>407</v>
      </c>
      <c r="E10" s="39"/>
      <c r="F10" s="35"/>
      <c r="G10" s="36">
        <f>G11*C10</f>
        <v>0</v>
      </c>
      <c r="H10" s="37"/>
    </row>
    <row r="11" s="6" customFormat="1" ht="28" customHeight="1" spans="1:8">
      <c r="A11" s="25">
        <v>6</v>
      </c>
      <c r="B11" s="32" t="s">
        <v>409</v>
      </c>
      <c r="C11" s="32"/>
      <c r="D11" s="33" t="s">
        <v>407</v>
      </c>
      <c r="E11" s="39"/>
      <c r="F11" s="35"/>
      <c r="G11" s="36">
        <f>G9/(1+C10)</f>
        <v>0</v>
      </c>
      <c r="H11" s="37"/>
    </row>
    <row r="12" spans="1:7">
      <c r="A12" s="40"/>
      <c r="B12" s="40"/>
      <c r="C12" s="41"/>
      <c r="D12" s="41"/>
      <c r="E12" s="42"/>
      <c r="F12" s="42"/>
      <c r="G12" s="43"/>
    </row>
    <row r="14" spans="1:1">
      <c r="A14"/>
    </row>
  </sheetData>
  <mergeCells count="11">
    <mergeCell ref="A1:G1"/>
    <mergeCell ref="A2:G2"/>
    <mergeCell ref="A12:B12"/>
    <mergeCell ref="A3:A4"/>
    <mergeCell ref="B3:B4"/>
    <mergeCell ref="C3:C4"/>
    <mergeCell ref="D3:D4"/>
    <mergeCell ref="E3:E4"/>
    <mergeCell ref="F3:F4"/>
    <mergeCell ref="G3:G4"/>
    <mergeCell ref="H3:H4"/>
  </mergeCells>
  <pageMargins left="0.75" right="0.75" top="1" bottom="1" header="0.5" footer="0.5"/>
  <pageSetup paperSize="9" scale="63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115"/>
  <sheetViews>
    <sheetView workbookViewId="0">
      <selection activeCell="A71" sqref="A71:E72"/>
    </sheetView>
  </sheetViews>
  <sheetFormatPr defaultColWidth="10.5" defaultRowHeight="15" outlineLevelCol="7"/>
  <cols>
    <col min="1" max="1" width="48.6666666666667" style="1" customWidth="1"/>
    <col min="2" max="2" width="27.6666666666667" style="1" customWidth="1"/>
    <col min="3" max="3" width="10.1666666666667" style="1" customWidth="1"/>
    <col min="4" max="5" width="21.8333333333333" style="1" customWidth="1"/>
    <col min="6" max="6" width="20.6666666666667" style="1" customWidth="1"/>
    <col min="7" max="7" width="10.5" style="1"/>
    <col min="8" max="8" width="12.5" style="1"/>
    <col min="9" max="16384" width="10.5" style="1"/>
  </cols>
  <sheetData>
    <row r="1" ht="27" spans="1:6">
      <c r="A1" s="2" t="s">
        <v>410</v>
      </c>
      <c r="B1" s="2" t="s">
        <v>411</v>
      </c>
      <c r="C1" s="2" t="s">
        <v>395</v>
      </c>
      <c r="D1" s="2" t="s">
        <v>412</v>
      </c>
      <c r="E1" s="2" t="s">
        <v>413</v>
      </c>
      <c r="F1" s="2" t="s">
        <v>414</v>
      </c>
    </row>
    <row r="2" ht="13.5" spans="1:6">
      <c r="A2" s="3" t="s">
        <v>415</v>
      </c>
      <c r="B2" s="4" t="s">
        <v>416</v>
      </c>
      <c r="C2" s="2" t="s">
        <v>80</v>
      </c>
      <c r="D2" s="5" t="s">
        <v>417</v>
      </c>
      <c r="E2" s="5" t="s">
        <v>418</v>
      </c>
      <c r="F2" s="5" t="s">
        <v>419</v>
      </c>
    </row>
    <row r="3" ht="13.5" spans="1:6">
      <c r="A3" s="3" t="s">
        <v>415</v>
      </c>
      <c r="B3" s="4" t="s">
        <v>420</v>
      </c>
      <c r="C3" s="2" t="s">
        <v>80</v>
      </c>
      <c r="D3" s="5" t="s">
        <v>421</v>
      </c>
      <c r="E3" s="5" t="s">
        <v>422</v>
      </c>
      <c r="F3" s="5" t="s">
        <v>423</v>
      </c>
    </row>
    <row r="4" ht="13.5" spans="1:6">
      <c r="A4" s="3" t="s">
        <v>415</v>
      </c>
      <c r="B4" s="4" t="s">
        <v>424</v>
      </c>
      <c r="C4" s="2" t="s">
        <v>80</v>
      </c>
      <c r="D4" s="5" t="s">
        <v>425</v>
      </c>
      <c r="E4" s="5" t="s">
        <v>426</v>
      </c>
      <c r="F4" s="5" t="s">
        <v>427</v>
      </c>
    </row>
    <row r="5" ht="13.5" spans="1:6">
      <c r="A5" s="3" t="s">
        <v>428</v>
      </c>
      <c r="B5" s="4" t="s">
        <v>13</v>
      </c>
      <c r="C5" s="2" t="s">
        <v>17</v>
      </c>
      <c r="D5" s="5" t="s">
        <v>429</v>
      </c>
      <c r="E5" s="5" t="s">
        <v>430</v>
      </c>
      <c r="F5" s="5" t="s">
        <v>431</v>
      </c>
    </row>
    <row r="6" ht="13.5" spans="1:6">
      <c r="A6" s="3" t="s">
        <v>432</v>
      </c>
      <c r="B6" s="4" t="s">
        <v>13</v>
      </c>
      <c r="C6" s="2" t="s">
        <v>17</v>
      </c>
      <c r="D6" s="5" t="s">
        <v>433</v>
      </c>
      <c r="E6" s="5" t="s">
        <v>434</v>
      </c>
      <c r="F6" s="5" t="s">
        <v>435</v>
      </c>
    </row>
    <row r="7" spans="1:8">
      <c r="A7" s="3" t="s">
        <v>436</v>
      </c>
      <c r="B7" s="4" t="s">
        <v>437</v>
      </c>
      <c r="C7" s="2" t="s">
        <v>438</v>
      </c>
      <c r="D7" s="5" t="s">
        <v>439</v>
      </c>
      <c r="E7" s="5" t="s">
        <v>440</v>
      </c>
      <c r="F7" s="5" t="s">
        <v>441</v>
      </c>
      <c r="H7" s="1">
        <f>D6+D5</f>
        <v>2654.0064</v>
      </c>
    </row>
    <row r="8" ht="13.5" spans="1:6">
      <c r="A8" s="3" t="s">
        <v>442</v>
      </c>
      <c r="B8" s="4" t="s">
        <v>13</v>
      </c>
      <c r="C8" s="2" t="s">
        <v>20</v>
      </c>
      <c r="D8" s="5" t="s">
        <v>443</v>
      </c>
      <c r="E8" s="5" t="s">
        <v>444</v>
      </c>
      <c r="F8" s="5" t="s">
        <v>445</v>
      </c>
    </row>
    <row r="9" ht="13.5" spans="1:6">
      <c r="A9" s="3" t="s">
        <v>446</v>
      </c>
      <c r="B9" s="4" t="s">
        <v>13</v>
      </c>
      <c r="C9" s="2" t="s">
        <v>20</v>
      </c>
      <c r="D9" s="5" t="s">
        <v>447</v>
      </c>
      <c r="E9" s="5" t="s">
        <v>444</v>
      </c>
      <c r="F9" s="5" t="s">
        <v>448</v>
      </c>
    </row>
    <row r="10" spans="1:8">
      <c r="A10" s="3" t="s">
        <v>401</v>
      </c>
      <c r="B10" s="4" t="s">
        <v>13</v>
      </c>
      <c r="C10" s="2" t="s">
        <v>20</v>
      </c>
      <c r="D10" s="5" t="s">
        <v>449</v>
      </c>
      <c r="E10" s="5" t="s">
        <v>450</v>
      </c>
      <c r="F10" s="5" t="s">
        <v>451</v>
      </c>
      <c r="H10" s="1">
        <f>D10+D13</f>
        <v>2573.272</v>
      </c>
    </row>
    <row r="11" spans="1:8">
      <c r="A11" s="3" t="s">
        <v>452</v>
      </c>
      <c r="B11" s="4" t="s">
        <v>13</v>
      </c>
      <c r="C11" s="2" t="s">
        <v>20</v>
      </c>
      <c r="D11" s="5" t="s">
        <v>453</v>
      </c>
      <c r="E11" s="5" t="s">
        <v>454</v>
      </c>
      <c r="F11" s="5" t="s">
        <v>455</v>
      </c>
      <c r="H11" s="1">
        <f>D8+D9+D12</f>
        <v>162.2805</v>
      </c>
    </row>
    <row r="12" ht="13.5" spans="1:6">
      <c r="A12" s="3" t="s">
        <v>404</v>
      </c>
      <c r="B12" s="4" t="s">
        <v>13</v>
      </c>
      <c r="C12" s="2" t="s">
        <v>20</v>
      </c>
      <c r="D12" s="5" t="s">
        <v>456</v>
      </c>
      <c r="E12" s="5" t="s">
        <v>444</v>
      </c>
      <c r="F12" s="5" t="s">
        <v>457</v>
      </c>
    </row>
    <row r="13" ht="13.5" spans="1:6">
      <c r="A13" s="3" t="s">
        <v>401</v>
      </c>
      <c r="B13" s="4" t="s">
        <v>13</v>
      </c>
      <c r="C13" s="2" t="s">
        <v>20</v>
      </c>
      <c r="D13" s="5" t="s">
        <v>458</v>
      </c>
      <c r="E13" s="5" t="s">
        <v>459</v>
      </c>
      <c r="F13" s="5" t="s">
        <v>460</v>
      </c>
    </row>
    <row r="14" ht="13.5" spans="1:6">
      <c r="A14" s="3" t="s">
        <v>461</v>
      </c>
      <c r="B14" s="4" t="s">
        <v>13</v>
      </c>
      <c r="C14" s="2" t="s">
        <v>462</v>
      </c>
      <c r="D14" s="5" t="s">
        <v>463</v>
      </c>
      <c r="E14" s="5" t="s">
        <v>464</v>
      </c>
      <c r="F14" s="5" t="s">
        <v>465</v>
      </c>
    </row>
    <row r="15" spans="1:8">
      <c r="A15" s="3" t="s">
        <v>461</v>
      </c>
      <c r="B15" s="4" t="s">
        <v>13</v>
      </c>
      <c r="C15" s="2" t="s">
        <v>462</v>
      </c>
      <c r="D15" s="5" t="s">
        <v>466</v>
      </c>
      <c r="E15" s="5" t="s">
        <v>464</v>
      </c>
      <c r="F15" s="5" t="s">
        <v>467</v>
      </c>
      <c r="H15" s="1" t="str">
        <f>D15</f>
        <v>9.9388</v>
      </c>
    </row>
    <row r="16" ht="13.5" spans="1:6">
      <c r="A16" s="3" t="s">
        <v>468</v>
      </c>
      <c r="B16" s="4" t="s">
        <v>469</v>
      </c>
      <c r="C16" s="2" t="s">
        <v>98</v>
      </c>
      <c r="D16" s="5" t="s">
        <v>470</v>
      </c>
      <c r="E16" s="5" t="s">
        <v>471</v>
      </c>
      <c r="F16" s="5" t="s">
        <v>472</v>
      </c>
    </row>
    <row r="17" ht="13.5" spans="1:6">
      <c r="A17" s="3" t="s">
        <v>473</v>
      </c>
      <c r="B17" s="4" t="s">
        <v>474</v>
      </c>
      <c r="C17" s="2" t="s">
        <v>49</v>
      </c>
      <c r="D17" s="5" t="s">
        <v>475</v>
      </c>
      <c r="E17" s="5" t="s">
        <v>476</v>
      </c>
      <c r="F17" s="5" t="s">
        <v>477</v>
      </c>
    </row>
    <row r="18" ht="13.5" spans="1:6">
      <c r="A18" s="3" t="s">
        <v>220</v>
      </c>
      <c r="B18" s="4" t="s">
        <v>478</v>
      </c>
      <c r="C18" s="2" t="s">
        <v>80</v>
      </c>
      <c r="D18" s="5" t="s">
        <v>479</v>
      </c>
      <c r="E18" s="5" t="s">
        <v>480</v>
      </c>
      <c r="F18" s="5" t="s">
        <v>480</v>
      </c>
    </row>
    <row r="19" ht="13.5" spans="1:6">
      <c r="A19" s="3" t="s">
        <v>481</v>
      </c>
      <c r="B19" s="4" t="s">
        <v>482</v>
      </c>
      <c r="C19" s="2" t="s">
        <v>49</v>
      </c>
      <c r="D19" s="5" t="s">
        <v>483</v>
      </c>
      <c r="E19" s="5" t="s">
        <v>484</v>
      </c>
      <c r="F19" s="5" t="s">
        <v>485</v>
      </c>
    </row>
    <row r="20" ht="13.5" spans="1:6">
      <c r="A20" s="3" t="s">
        <v>486</v>
      </c>
      <c r="B20" s="4" t="s">
        <v>416</v>
      </c>
      <c r="C20" s="2" t="s">
        <v>49</v>
      </c>
      <c r="D20" s="5" t="s">
        <v>470</v>
      </c>
      <c r="E20" s="5" t="s">
        <v>487</v>
      </c>
      <c r="F20" s="5" t="s">
        <v>488</v>
      </c>
    </row>
    <row r="21" ht="13.5" spans="1:6">
      <c r="A21" s="3" t="s">
        <v>486</v>
      </c>
      <c r="B21" s="4" t="s">
        <v>420</v>
      </c>
      <c r="C21" s="2" t="s">
        <v>49</v>
      </c>
      <c r="D21" s="5" t="s">
        <v>489</v>
      </c>
      <c r="E21" s="5" t="s">
        <v>490</v>
      </c>
      <c r="F21" s="5" t="s">
        <v>491</v>
      </c>
    </row>
    <row r="22" ht="13.5" spans="1:6">
      <c r="A22" s="3" t="s">
        <v>486</v>
      </c>
      <c r="B22" s="4" t="s">
        <v>424</v>
      </c>
      <c r="C22" s="2" t="s">
        <v>49</v>
      </c>
      <c r="D22" s="5" t="s">
        <v>492</v>
      </c>
      <c r="E22" s="5" t="s">
        <v>493</v>
      </c>
      <c r="F22" s="5" t="s">
        <v>494</v>
      </c>
    </row>
    <row r="23" ht="13.5" spans="1:6">
      <c r="A23" s="3" t="s">
        <v>495</v>
      </c>
      <c r="B23" s="4" t="s">
        <v>325</v>
      </c>
      <c r="C23" s="2" t="s">
        <v>49</v>
      </c>
      <c r="D23" s="5" t="s">
        <v>496</v>
      </c>
      <c r="E23" s="5" t="s">
        <v>497</v>
      </c>
      <c r="F23" s="5" t="s">
        <v>498</v>
      </c>
    </row>
    <row r="24" ht="13.5" spans="1:6">
      <c r="A24" s="3" t="s">
        <v>499</v>
      </c>
      <c r="B24" s="4" t="s">
        <v>325</v>
      </c>
      <c r="C24" s="2" t="s">
        <v>49</v>
      </c>
      <c r="D24" s="5" t="s">
        <v>500</v>
      </c>
      <c r="E24" s="5" t="s">
        <v>501</v>
      </c>
      <c r="F24" s="5" t="s">
        <v>502</v>
      </c>
    </row>
    <row r="25" ht="13.5" spans="1:6">
      <c r="A25" s="3" t="s">
        <v>296</v>
      </c>
      <c r="B25" s="4" t="s">
        <v>482</v>
      </c>
      <c r="C25" s="2" t="s">
        <v>49</v>
      </c>
      <c r="D25" s="5" t="s">
        <v>503</v>
      </c>
      <c r="E25" s="5" t="s">
        <v>504</v>
      </c>
      <c r="F25" s="5" t="s">
        <v>505</v>
      </c>
    </row>
    <row r="26" ht="13.5" spans="1:6">
      <c r="A26" s="3" t="s">
        <v>296</v>
      </c>
      <c r="B26" s="4" t="s">
        <v>325</v>
      </c>
      <c r="C26" s="2" t="s">
        <v>49</v>
      </c>
      <c r="D26" s="5" t="s">
        <v>506</v>
      </c>
      <c r="E26" s="5" t="s">
        <v>507</v>
      </c>
      <c r="F26" s="5" t="s">
        <v>508</v>
      </c>
    </row>
    <row r="27" ht="13.5" spans="1:6">
      <c r="A27" s="3" t="s">
        <v>296</v>
      </c>
      <c r="B27" s="4" t="s">
        <v>324</v>
      </c>
      <c r="C27" s="2" t="s">
        <v>49</v>
      </c>
      <c r="D27" s="5" t="s">
        <v>509</v>
      </c>
      <c r="E27" s="5" t="s">
        <v>510</v>
      </c>
      <c r="F27" s="5" t="s">
        <v>511</v>
      </c>
    </row>
    <row r="28" ht="13.5" spans="1:6">
      <c r="A28" s="3" t="s">
        <v>296</v>
      </c>
      <c r="B28" s="4" t="s">
        <v>512</v>
      </c>
      <c r="C28" s="2" t="s">
        <v>49</v>
      </c>
      <c r="D28" s="5" t="s">
        <v>513</v>
      </c>
      <c r="E28" s="5" t="s">
        <v>514</v>
      </c>
      <c r="F28" s="5" t="s">
        <v>515</v>
      </c>
    </row>
    <row r="29" ht="13.5" spans="1:6">
      <c r="A29" s="3" t="s">
        <v>296</v>
      </c>
      <c r="B29" s="4" t="s">
        <v>516</v>
      </c>
      <c r="C29" s="2" t="s">
        <v>49</v>
      </c>
      <c r="D29" s="5" t="s">
        <v>517</v>
      </c>
      <c r="E29" s="5" t="s">
        <v>518</v>
      </c>
      <c r="F29" s="5" t="s">
        <v>519</v>
      </c>
    </row>
    <row r="30" ht="13.5" spans="1:6">
      <c r="A30" s="3" t="s">
        <v>520</v>
      </c>
      <c r="B30" s="4" t="s">
        <v>13</v>
      </c>
      <c r="C30" s="2" t="s">
        <v>49</v>
      </c>
      <c r="D30" s="5" t="s">
        <v>521</v>
      </c>
      <c r="E30" s="5" t="s">
        <v>522</v>
      </c>
      <c r="F30" s="5" t="s">
        <v>523</v>
      </c>
    </row>
    <row r="31" ht="13.5" spans="1:6">
      <c r="A31" s="3" t="s">
        <v>495</v>
      </c>
      <c r="B31" s="4" t="s">
        <v>482</v>
      </c>
      <c r="C31" s="2" t="s">
        <v>49</v>
      </c>
      <c r="D31" s="5" t="s">
        <v>524</v>
      </c>
      <c r="E31" s="5" t="s">
        <v>525</v>
      </c>
      <c r="F31" s="5" t="s">
        <v>526</v>
      </c>
    </row>
    <row r="32" ht="13.5" spans="1:6">
      <c r="A32" s="3" t="s">
        <v>258</v>
      </c>
      <c r="B32" s="4" t="s">
        <v>527</v>
      </c>
      <c r="C32" s="2" t="s">
        <v>49</v>
      </c>
      <c r="D32" s="5" t="s">
        <v>528</v>
      </c>
      <c r="E32" s="5" t="s">
        <v>529</v>
      </c>
      <c r="F32" s="5" t="s">
        <v>530</v>
      </c>
    </row>
    <row r="33" ht="13.5" spans="1:6">
      <c r="A33" s="3" t="s">
        <v>258</v>
      </c>
      <c r="B33" s="4" t="s">
        <v>259</v>
      </c>
      <c r="C33" s="2" t="s">
        <v>49</v>
      </c>
      <c r="D33" s="5" t="s">
        <v>531</v>
      </c>
      <c r="E33" s="5" t="s">
        <v>532</v>
      </c>
      <c r="F33" s="5" t="s">
        <v>533</v>
      </c>
    </row>
    <row r="34" ht="13.5" spans="1:6">
      <c r="A34" s="3" t="s">
        <v>258</v>
      </c>
      <c r="B34" s="4" t="s">
        <v>282</v>
      </c>
      <c r="C34" s="2" t="s">
        <v>49</v>
      </c>
      <c r="D34" s="5" t="s">
        <v>534</v>
      </c>
      <c r="E34" s="5" t="s">
        <v>535</v>
      </c>
      <c r="F34" s="5" t="s">
        <v>536</v>
      </c>
    </row>
    <row r="35" ht="13.5" spans="1:6">
      <c r="A35" s="3" t="s">
        <v>258</v>
      </c>
      <c r="B35" s="4" t="s">
        <v>248</v>
      </c>
      <c r="C35" s="2" t="s">
        <v>49</v>
      </c>
      <c r="D35" s="5" t="s">
        <v>537</v>
      </c>
      <c r="E35" s="5" t="s">
        <v>538</v>
      </c>
      <c r="F35" s="5" t="s">
        <v>539</v>
      </c>
    </row>
    <row r="36" ht="13.5" spans="1:6">
      <c r="A36" s="3" t="s">
        <v>540</v>
      </c>
      <c r="B36" s="4" t="s">
        <v>541</v>
      </c>
      <c r="C36" s="2" t="s">
        <v>80</v>
      </c>
      <c r="D36" s="5" t="s">
        <v>479</v>
      </c>
      <c r="E36" s="5" t="s">
        <v>542</v>
      </c>
      <c r="F36" s="5" t="s">
        <v>542</v>
      </c>
    </row>
    <row r="37" ht="13.5" spans="1:6">
      <c r="A37" s="3" t="s">
        <v>540</v>
      </c>
      <c r="B37" s="4" t="s">
        <v>543</v>
      </c>
      <c r="C37" s="2" t="s">
        <v>80</v>
      </c>
      <c r="D37" s="5" t="s">
        <v>479</v>
      </c>
      <c r="E37" s="5" t="s">
        <v>544</v>
      </c>
      <c r="F37" s="5" t="s">
        <v>544</v>
      </c>
    </row>
    <row r="38" ht="13.5" spans="1:6">
      <c r="A38" s="3" t="s">
        <v>545</v>
      </c>
      <c r="B38" s="4" t="s">
        <v>546</v>
      </c>
      <c r="C38" s="2" t="s">
        <v>80</v>
      </c>
      <c r="D38" s="5" t="s">
        <v>479</v>
      </c>
      <c r="E38" s="5" t="s">
        <v>547</v>
      </c>
      <c r="F38" s="5" t="s">
        <v>547</v>
      </c>
    </row>
    <row r="39" ht="13.5" spans="1:6">
      <c r="A39" s="3" t="s">
        <v>176</v>
      </c>
      <c r="B39" s="4" t="s">
        <v>548</v>
      </c>
      <c r="C39" s="2" t="s">
        <v>80</v>
      </c>
      <c r="D39" s="5" t="s">
        <v>479</v>
      </c>
      <c r="E39" s="5" t="s">
        <v>549</v>
      </c>
      <c r="F39" s="5" t="s">
        <v>549</v>
      </c>
    </row>
    <row r="40" ht="13.5" spans="1:6">
      <c r="A40" s="3" t="s">
        <v>179</v>
      </c>
      <c r="B40" s="4" t="s">
        <v>416</v>
      </c>
      <c r="C40" s="2" t="s">
        <v>80</v>
      </c>
      <c r="D40" s="5" t="s">
        <v>550</v>
      </c>
      <c r="E40" s="5" t="s">
        <v>551</v>
      </c>
      <c r="F40" s="5" t="s">
        <v>552</v>
      </c>
    </row>
    <row r="41" ht="13.5" spans="1:6">
      <c r="A41" s="3" t="s">
        <v>182</v>
      </c>
      <c r="B41" s="4" t="s">
        <v>416</v>
      </c>
      <c r="C41" s="2" t="s">
        <v>80</v>
      </c>
      <c r="D41" s="5" t="s">
        <v>553</v>
      </c>
      <c r="E41" s="5" t="s">
        <v>554</v>
      </c>
      <c r="F41" s="5" t="s">
        <v>555</v>
      </c>
    </row>
    <row r="42" ht="13.5" spans="1:6">
      <c r="A42" s="3" t="s">
        <v>179</v>
      </c>
      <c r="B42" s="4" t="s">
        <v>424</v>
      </c>
      <c r="C42" s="2" t="s">
        <v>80</v>
      </c>
      <c r="D42" s="5" t="s">
        <v>479</v>
      </c>
      <c r="E42" s="5" t="s">
        <v>490</v>
      </c>
      <c r="F42" s="5" t="s">
        <v>490</v>
      </c>
    </row>
    <row r="43" ht="13.5" spans="1:6">
      <c r="A43" s="3" t="s">
        <v>316</v>
      </c>
      <c r="B43" s="4" t="s">
        <v>482</v>
      </c>
      <c r="C43" s="2" t="s">
        <v>80</v>
      </c>
      <c r="D43" s="5" t="s">
        <v>479</v>
      </c>
      <c r="E43" s="5" t="s">
        <v>556</v>
      </c>
      <c r="F43" s="5" t="s">
        <v>556</v>
      </c>
    </row>
    <row r="44" ht="13.5" spans="1:6">
      <c r="A44" s="3" t="s">
        <v>557</v>
      </c>
      <c r="B44" s="4" t="s">
        <v>420</v>
      </c>
      <c r="C44" s="2" t="s">
        <v>80</v>
      </c>
      <c r="D44" s="5" t="s">
        <v>553</v>
      </c>
      <c r="E44" s="5" t="s">
        <v>558</v>
      </c>
      <c r="F44" s="5" t="s">
        <v>559</v>
      </c>
    </row>
    <row r="45" ht="13.5" spans="1:6">
      <c r="A45" s="3" t="s">
        <v>163</v>
      </c>
      <c r="B45" s="4" t="s">
        <v>482</v>
      </c>
      <c r="C45" s="2" t="s">
        <v>80</v>
      </c>
      <c r="D45" s="5" t="s">
        <v>479</v>
      </c>
      <c r="E45" s="5" t="s">
        <v>560</v>
      </c>
      <c r="F45" s="5" t="s">
        <v>560</v>
      </c>
    </row>
    <row r="46" ht="13.5" spans="1:6">
      <c r="A46" s="4" t="s">
        <v>561</v>
      </c>
      <c r="B46" s="4" t="s">
        <v>420</v>
      </c>
      <c r="C46" s="2" t="s">
        <v>80</v>
      </c>
      <c r="D46" s="5" t="s">
        <v>553</v>
      </c>
      <c r="E46" s="5" t="s">
        <v>562</v>
      </c>
      <c r="F46" s="5" t="s">
        <v>563</v>
      </c>
    </row>
    <row r="47" ht="13.5" spans="1:6">
      <c r="A47" s="4" t="s">
        <v>561</v>
      </c>
      <c r="B47" s="4" t="s">
        <v>482</v>
      </c>
      <c r="C47" s="2" t="s">
        <v>80</v>
      </c>
      <c r="D47" s="5" t="s">
        <v>553</v>
      </c>
      <c r="E47" s="5" t="s">
        <v>529</v>
      </c>
      <c r="F47" s="5" t="s">
        <v>564</v>
      </c>
    </row>
    <row r="48" ht="13.5" spans="1:6">
      <c r="A48" s="3" t="s">
        <v>292</v>
      </c>
      <c r="B48" s="4" t="s">
        <v>482</v>
      </c>
      <c r="C48" s="2" t="s">
        <v>80</v>
      </c>
      <c r="D48" s="5" t="s">
        <v>479</v>
      </c>
      <c r="E48" s="5" t="s">
        <v>565</v>
      </c>
      <c r="F48" s="5" t="s">
        <v>565</v>
      </c>
    </row>
    <row r="49" ht="13.5" spans="1:6">
      <c r="A49" s="3" t="s">
        <v>288</v>
      </c>
      <c r="B49" s="4" t="s">
        <v>482</v>
      </c>
      <c r="C49" s="2" t="s">
        <v>80</v>
      </c>
      <c r="D49" s="5" t="s">
        <v>566</v>
      </c>
      <c r="E49" s="5" t="s">
        <v>567</v>
      </c>
      <c r="F49" s="5" t="s">
        <v>568</v>
      </c>
    </row>
    <row r="50" ht="13.5" spans="1:6">
      <c r="A50" s="3" t="s">
        <v>288</v>
      </c>
      <c r="B50" s="4" t="s">
        <v>325</v>
      </c>
      <c r="C50" s="2" t="s">
        <v>80</v>
      </c>
      <c r="D50" s="5" t="s">
        <v>569</v>
      </c>
      <c r="E50" s="5" t="s">
        <v>570</v>
      </c>
      <c r="F50" s="5" t="s">
        <v>571</v>
      </c>
    </row>
    <row r="51" ht="13.5" spans="1:6">
      <c r="A51" s="3" t="s">
        <v>572</v>
      </c>
      <c r="B51" s="4" t="s">
        <v>516</v>
      </c>
      <c r="C51" s="2" t="s">
        <v>80</v>
      </c>
      <c r="D51" s="5" t="s">
        <v>573</v>
      </c>
      <c r="E51" s="5" t="s">
        <v>574</v>
      </c>
      <c r="F51" s="5" t="s">
        <v>575</v>
      </c>
    </row>
    <row r="52" ht="13.5" spans="1:6">
      <c r="A52" s="4" t="s">
        <v>576</v>
      </c>
      <c r="B52" s="4" t="s">
        <v>577</v>
      </c>
      <c r="C52" s="2" t="s">
        <v>578</v>
      </c>
      <c r="D52" s="5" t="s">
        <v>579</v>
      </c>
      <c r="E52" s="5" t="s">
        <v>580</v>
      </c>
      <c r="F52" s="5" t="s">
        <v>581</v>
      </c>
    </row>
    <row r="53" ht="13.5" spans="1:6">
      <c r="A53" s="4" t="s">
        <v>582</v>
      </c>
      <c r="B53" s="4" t="s">
        <v>424</v>
      </c>
      <c r="C53" s="2" t="s">
        <v>578</v>
      </c>
      <c r="D53" s="5" t="s">
        <v>583</v>
      </c>
      <c r="E53" s="5" t="s">
        <v>584</v>
      </c>
      <c r="F53" s="5" t="s">
        <v>585</v>
      </c>
    </row>
    <row r="54" ht="13.5" spans="1:6">
      <c r="A54" s="4" t="s">
        <v>582</v>
      </c>
      <c r="B54" s="4" t="s">
        <v>482</v>
      </c>
      <c r="C54" s="2" t="s">
        <v>578</v>
      </c>
      <c r="D54" s="5" t="s">
        <v>479</v>
      </c>
      <c r="E54" s="5" t="s">
        <v>586</v>
      </c>
      <c r="F54" s="5" t="s">
        <v>586</v>
      </c>
    </row>
    <row r="55" ht="13.5" spans="1:6">
      <c r="A55" s="4" t="s">
        <v>587</v>
      </c>
      <c r="B55" s="4" t="s">
        <v>420</v>
      </c>
      <c r="C55" s="2" t="s">
        <v>80</v>
      </c>
      <c r="D55" s="5" t="s">
        <v>553</v>
      </c>
      <c r="E55" s="5" t="s">
        <v>588</v>
      </c>
      <c r="F55" s="5" t="s">
        <v>589</v>
      </c>
    </row>
    <row r="56" ht="13.5" spans="1:6">
      <c r="A56" s="4" t="s">
        <v>587</v>
      </c>
      <c r="B56" s="4" t="s">
        <v>482</v>
      </c>
      <c r="C56" s="2" t="s">
        <v>80</v>
      </c>
      <c r="D56" s="5" t="s">
        <v>479</v>
      </c>
      <c r="E56" s="5" t="s">
        <v>590</v>
      </c>
      <c r="F56" s="5" t="s">
        <v>590</v>
      </c>
    </row>
    <row r="57" ht="13.5" spans="1:6">
      <c r="A57" s="4" t="s">
        <v>206</v>
      </c>
      <c r="B57" s="4" t="s">
        <v>482</v>
      </c>
      <c r="C57" s="2" t="s">
        <v>80</v>
      </c>
      <c r="D57" s="5" t="s">
        <v>479</v>
      </c>
      <c r="E57" s="5" t="s">
        <v>590</v>
      </c>
      <c r="F57" s="5" t="s">
        <v>590</v>
      </c>
    </row>
    <row r="58" ht="13.5" spans="1:6">
      <c r="A58" s="3" t="s">
        <v>591</v>
      </c>
      <c r="B58" s="4" t="s">
        <v>592</v>
      </c>
      <c r="C58" s="2" t="s">
        <v>114</v>
      </c>
      <c r="D58" s="5" t="s">
        <v>479</v>
      </c>
      <c r="E58" s="5" t="s">
        <v>593</v>
      </c>
      <c r="F58" s="5" t="s">
        <v>593</v>
      </c>
    </row>
    <row r="59" ht="13.5" spans="1:6">
      <c r="A59" s="3" t="s">
        <v>303</v>
      </c>
      <c r="B59" s="4" t="s">
        <v>594</v>
      </c>
      <c r="C59" s="2" t="s">
        <v>80</v>
      </c>
      <c r="D59" s="5" t="s">
        <v>595</v>
      </c>
      <c r="E59" s="5" t="s">
        <v>518</v>
      </c>
      <c r="F59" s="5" t="s">
        <v>596</v>
      </c>
    </row>
    <row r="60" ht="13.5" spans="1:6">
      <c r="A60" s="3" t="s">
        <v>303</v>
      </c>
      <c r="B60" s="4" t="s">
        <v>597</v>
      </c>
      <c r="C60" s="2" t="s">
        <v>80</v>
      </c>
      <c r="D60" s="5" t="s">
        <v>598</v>
      </c>
      <c r="E60" s="5" t="s">
        <v>518</v>
      </c>
      <c r="F60" s="5" t="s">
        <v>599</v>
      </c>
    </row>
    <row r="61" ht="13.5" spans="1:6">
      <c r="A61" s="3" t="s">
        <v>285</v>
      </c>
      <c r="B61" s="4" t="s">
        <v>482</v>
      </c>
      <c r="C61" s="2" t="s">
        <v>80</v>
      </c>
      <c r="D61" s="5" t="s">
        <v>479</v>
      </c>
      <c r="E61" s="5" t="s">
        <v>600</v>
      </c>
      <c r="F61" s="5" t="s">
        <v>600</v>
      </c>
    </row>
    <row r="62" ht="13.5" spans="1:6">
      <c r="A62" s="3" t="s">
        <v>347</v>
      </c>
      <c r="B62" s="4" t="s">
        <v>601</v>
      </c>
      <c r="C62" s="2" t="s">
        <v>49</v>
      </c>
      <c r="D62" s="5" t="s">
        <v>602</v>
      </c>
      <c r="E62" s="5" t="s">
        <v>603</v>
      </c>
      <c r="F62" s="5" t="s">
        <v>604</v>
      </c>
    </row>
    <row r="63" ht="13.5" spans="1:6">
      <c r="A63" s="3" t="s">
        <v>605</v>
      </c>
      <c r="B63" s="4" t="s">
        <v>606</v>
      </c>
      <c r="C63" s="2" t="s">
        <v>49</v>
      </c>
      <c r="D63" s="5" t="s">
        <v>607</v>
      </c>
      <c r="E63" s="5" t="s">
        <v>608</v>
      </c>
      <c r="F63" s="5" t="s">
        <v>609</v>
      </c>
    </row>
    <row r="64" ht="13.5" spans="1:6">
      <c r="A64" s="3" t="s">
        <v>610</v>
      </c>
      <c r="B64" s="4" t="s">
        <v>611</v>
      </c>
      <c r="C64" s="2" t="s">
        <v>49</v>
      </c>
      <c r="D64" s="5" t="s">
        <v>612</v>
      </c>
      <c r="E64" s="5" t="s">
        <v>613</v>
      </c>
      <c r="F64" s="5" t="s">
        <v>614</v>
      </c>
    </row>
    <row r="65" ht="13.5" spans="1:6">
      <c r="A65" s="3" t="s">
        <v>615</v>
      </c>
      <c r="B65" s="4" t="s">
        <v>616</v>
      </c>
      <c r="C65" s="2" t="s">
        <v>114</v>
      </c>
      <c r="D65" s="5" t="s">
        <v>617</v>
      </c>
      <c r="E65" s="5" t="s">
        <v>618</v>
      </c>
      <c r="F65" s="5" t="s">
        <v>619</v>
      </c>
    </row>
    <row r="66" ht="13.5" spans="1:6">
      <c r="A66" s="3" t="s">
        <v>620</v>
      </c>
      <c r="B66" s="4" t="s">
        <v>621</v>
      </c>
      <c r="C66" s="2" t="s">
        <v>622</v>
      </c>
      <c r="D66" s="5" t="s">
        <v>470</v>
      </c>
      <c r="E66" s="5" t="s">
        <v>623</v>
      </c>
      <c r="F66" s="5" t="s">
        <v>624</v>
      </c>
    </row>
    <row r="67" ht="13.5" spans="1:6">
      <c r="A67" s="3" t="s">
        <v>96</v>
      </c>
      <c r="B67" s="4" t="s">
        <v>625</v>
      </c>
      <c r="C67" s="2" t="s">
        <v>98</v>
      </c>
      <c r="D67" s="5" t="s">
        <v>553</v>
      </c>
      <c r="E67" s="5" t="s">
        <v>626</v>
      </c>
      <c r="F67" s="5" t="s">
        <v>627</v>
      </c>
    </row>
    <row r="68" ht="13.5" spans="1:6">
      <c r="A68" s="3" t="s">
        <v>628</v>
      </c>
      <c r="B68" s="4" t="s">
        <v>629</v>
      </c>
      <c r="C68" s="2" t="s">
        <v>98</v>
      </c>
      <c r="D68" s="5" t="s">
        <v>553</v>
      </c>
      <c r="E68" s="5" t="s">
        <v>630</v>
      </c>
      <c r="F68" s="5" t="s">
        <v>631</v>
      </c>
    </row>
    <row r="69" ht="13.5" spans="1:6">
      <c r="A69" s="3" t="s">
        <v>632</v>
      </c>
      <c r="B69" s="4" t="s">
        <v>13</v>
      </c>
      <c r="C69" s="2" t="s">
        <v>80</v>
      </c>
      <c r="D69" s="5" t="s">
        <v>633</v>
      </c>
      <c r="E69" s="5" t="s">
        <v>634</v>
      </c>
      <c r="F69" s="5" t="s">
        <v>635</v>
      </c>
    </row>
    <row r="70" ht="13.5" spans="1:6">
      <c r="A70" s="4" t="s">
        <v>636</v>
      </c>
      <c r="B70" s="4" t="s">
        <v>637</v>
      </c>
      <c r="C70" s="2" t="s">
        <v>114</v>
      </c>
      <c r="D70" s="5" t="s">
        <v>638</v>
      </c>
      <c r="E70" s="5" t="s">
        <v>529</v>
      </c>
      <c r="F70" s="5" t="s">
        <v>639</v>
      </c>
    </row>
    <row r="71" ht="13.5" spans="1:6">
      <c r="A71" s="4" t="s">
        <v>640</v>
      </c>
      <c r="B71" s="4" t="s">
        <v>637</v>
      </c>
      <c r="C71" s="2" t="s">
        <v>114</v>
      </c>
      <c r="D71" s="5" t="s">
        <v>641</v>
      </c>
      <c r="E71" s="5" t="s">
        <v>529</v>
      </c>
      <c r="F71" s="5" t="s">
        <v>642</v>
      </c>
    </row>
    <row r="72" ht="13.5" spans="1:6">
      <c r="A72" s="4" t="s">
        <v>643</v>
      </c>
      <c r="B72" s="4" t="s">
        <v>644</v>
      </c>
      <c r="C72" s="2" t="s">
        <v>114</v>
      </c>
      <c r="D72" s="5" t="s">
        <v>645</v>
      </c>
      <c r="E72" s="5" t="s">
        <v>556</v>
      </c>
      <c r="F72" s="5" t="s">
        <v>646</v>
      </c>
    </row>
    <row r="73" ht="13.5" spans="1:6">
      <c r="A73" s="3" t="s">
        <v>73</v>
      </c>
      <c r="B73" s="4" t="s">
        <v>647</v>
      </c>
      <c r="C73" s="2" t="s">
        <v>49</v>
      </c>
      <c r="D73" s="5" t="s">
        <v>648</v>
      </c>
      <c r="E73" s="5" t="s">
        <v>649</v>
      </c>
      <c r="F73" s="5" t="s">
        <v>650</v>
      </c>
    </row>
    <row r="74" ht="27" spans="1:6">
      <c r="A74" s="3" t="s">
        <v>651</v>
      </c>
      <c r="B74" s="4" t="s">
        <v>652</v>
      </c>
      <c r="C74" s="2" t="s">
        <v>80</v>
      </c>
      <c r="D74" s="5" t="s">
        <v>550</v>
      </c>
      <c r="E74" s="5" t="s">
        <v>653</v>
      </c>
      <c r="F74" s="5" t="s">
        <v>654</v>
      </c>
    </row>
    <row r="75" ht="13.5" spans="1:6">
      <c r="A75" s="3" t="s">
        <v>655</v>
      </c>
      <c r="B75" s="4" t="s">
        <v>656</v>
      </c>
      <c r="C75" s="2" t="s">
        <v>114</v>
      </c>
      <c r="D75" s="5" t="s">
        <v>553</v>
      </c>
      <c r="E75" s="5" t="s">
        <v>567</v>
      </c>
      <c r="F75" s="5" t="s">
        <v>657</v>
      </c>
    </row>
    <row r="76" ht="13.5" spans="1:6">
      <c r="A76" s="3" t="s">
        <v>658</v>
      </c>
      <c r="B76" s="4" t="s">
        <v>656</v>
      </c>
      <c r="C76" s="2" t="s">
        <v>114</v>
      </c>
      <c r="D76" s="5" t="s">
        <v>641</v>
      </c>
      <c r="E76" s="5" t="s">
        <v>659</v>
      </c>
      <c r="F76" s="5" t="s">
        <v>660</v>
      </c>
    </row>
    <row r="77" ht="13.5" spans="1:6">
      <c r="A77" s="3" t="s">
        <v>661</v>
      </c>
      <c r="B77" s="4" t="s">
        <v>662</v>
      </c>
      <c r="C77" s="2" t="s">
        <v>663</v>
      </c>
      <c r="D77" s="5" t="s">
        <v>664</v>
      </c>
      <c r="E77" s="5" t="s">
        <v>665</v>
      </c>
      <c r="F77" s="5" t="s">
        <v>666</v>
      </c>
    </row>
    <row r="78" ht="13.5" spans="1:6">
      <c r="A78" s="3" t="s">
        <v>667</v>
      </c>
      <c r="B78" s="4" t="s">
        <v>668</v>
      </c>
      <c r="C78" s="2" t="s">
        <v>622</v>
      </c>
      <c r="D78" s="5" t="s">
        <v>669</v>
      </c>
      <c r="E78" s="5" t="s">
        <v>670</v>
      </c>
      <c r="F78" s="5" t="s">
        <v>671</v>
      </c>
    </row>
    <row r="79" ht="27" spans="1:6">
      <c r="A79" s="3" t="s">
        <v>672</v>
      </c>
      <c r="B79" s="4" t="s">
        <v>673</v>
      </c>
      <c r="C79" s="2" t="s">
        <v>80</v>
      </c>
      <c r="D79" s="5" t="s">
        <v>470</v>
      </c>
      <c r="E79" s="5" t="s">
        <v>674</v>
      </c>
      <c r="F79" s="5" t="s">
        <v>529</v>
      </c>
    </row>
    <row r="80" ht="13.5" spans="1:6">
      <c r="A80" s="3" t="s">
        <v>675</v>
      </c>
      <c r="B80" s="4" t="s">
        <v>13</v>
      </c>
      <c r="C80" s="2" t="s">
        <v>20</v>
      </c>
      <c r="D80" s="5" t="s">
        <v>676</v>
      </c>
      <c r="E80" s="5" t="s">
        <v>677</v>
      </c>
      <c r="F80" s="5" t="s">
        <v>678</v>
      </c>
    </row>
    <row r="81" ht="13.5" spans="1:6">
      <c r="A81" s="3" t="s">
        <v>675</v>
      </c>
      <c r="B81" s="4" t="s">
        <v>13</v>
      </c>
      <c r="C81" s="2" t="s">
        <v>20</v>
      </c>
      <c r="D81" s="5" t="s">
        <v>679</v>
      </c>
      <c r="E81" s="5" t="s">
        <v>677</v>
      </c>
      <c r="F81" s="5" t="s">
        <v>680</v>
      </c>
    </row>
    <row r="82" ht="13.5" spans="1:6">
      <c r="A82" s="3" t="s">
        <v>681</v>
      </c>
      <c r="B82" s="4" t="s">
        <v>13</v>
      </c>
      <c r="C82" s="2" t="s">
        <v>20</v>
      </c>
      <c r="D82" s="5" t="s">
        <v>682</v>
      </c>
      <c r="E82" s="5" t="s">
        <v>677</v>
      </c>
      <c r="F82" s="5" t="s">
        <v>683</v>
      </c>
    </row>
    <row r="83" ht="13.5" spans="1:6">
      <c r="A83" s="3" t="s">
        <v>684</v>
      </c>
      <c r="B83" s="4" t="s">
        <v>13</v>
      </c>
      <c r="C83" s="2" t="s">
        <v>20</v>
      </c>
      <c r="D83" s="5" t="s">
        <v>685</v>
      </c>
      <c r="E83" s="5" t="s">
        <v>686</v>
      </c>
      <c r="F83" s="5" t="s">
        <v>687</v>
      </c>
    </row>
    <row r="84" ht="13.5" spans="1:6">
      <c r="A84" s="3" t="s">
        <v>684</v>
      </c>
      <c r="B84" s="4" t="s">
        <v>688</v>
      </c>
      <c r="C84" s="2" t="s">
        <v>20</v>
      </c>
      <c r="D84" s="5" t="s">
        <v>689</v>
      </c>
      <c r="E84" s="5" t="s">
        <v>686</v>
      </c>
      <c r="F84" s="5" t="s">
        <v>690</v>
      </c>
    </row>
    <row r="85" ht="13.5" spans="1:6">
      <c r="A85" s="3" t="s">
        <v>684</v>
      </c>
      <c r="B85" s="4" t="s">
        <v>13</v>
      </c>
      <c r="C85" s="2" t="s">
        <v>20</v>
      </c>
      <c r="D85" s="5" t="s">
        <v>691</v>
      </c>
      <c r="E85" s="5" t="s">
        <v>686</v>
      </c>
      <c r="F85" s="5" t="s">
        <v>692</v>
      </c>
    </row>
    <row r="86" spans="1:8">
      <c r="A86" s="3" t="s">
        <v>693</v>
      </c>
      <c r="B86" s="4" t="s">
        <v>13</v>
      </c>
      <c r="C86" s="2" t="s">
        <v>20</v>
      </c>
      <c r="D86" s="5" t="s">
        <v>694</v>
      </c>
      <c r="E86" s="5" t="s">
        <v>695</v>
      </c>
      <c r="F86" s="5" t="s">
        <v>696</v>
      </c>
      <c r="G86" s="1">
        <f>D86+D87+D88</f>
        <v>8.0614</v>
      </c>
      <c r="H86" s="1">
        <f>G86*1.5</f>
        <v>12.0921</v>
      </c>
    </row>
    <row r="87" spans="1:8">
      <c r="A87" s="3" t="s">
        <v>693</v>
      </c>
      <c r="B87" s="4" t="s">
        <v>688</v>
      </c>
      <c r="C87" s="2" t="s">
        <v>20</v>
      </c>
      <c r="D87" s="5" t="s">
        <v>697</v>
      </c>
      <c r="E87" s="5" t="s">
        <v>472</v>
      </c>
      <c r="F87" s="5" t="s">
        <v>698</v>
      </c>
      <c r="G87" s="1">
        <f>D89+D90</f>
        <v>41.1</v>
      </c>
      <c r="H87" s="1">
        <f>G87*1.5</f>
        <v>61.65</v>
      </c>
    </row>
    <row r="88" ht="13.5" spans="1:6">
      <c r="A88" s="3" t="s">
        <v>699</v>
      </c>
      <c r="B88" s="4" t="s">
        <v>13</v>
      </c>
      <c r="C88" s="2" t="s">
        <v>20</v>
      </c>
      <c r="D88" s="5" t="s">
        <v>700</v>
      </c>
      <c r="E88" s="5" t="s">
        <v>686</v>
      </c>
      <c r="F88" s="5" t="s">
        <v>701</v>
      </c>
    </row>
    <row r="89" ht="13.5" spans="1:6">
      <c r="A89" s="3" t="s">
        <v>702</v>
      </c>
      <c r="B89" s="4" t="s">
        <v>13</v>
      </c>
      <c r="C89" s="2" t="s">
        <v>20</v>
      </c>
      <c r="D89" s="5" t="s">
        <v>703</v>
      </c>
      <c r="E89" s="5" t="s">
        <v>704</v>
      </c>
      <c r="F89" s="5" t="s">
        <v>705</v>
      </c>
    </row>
    <row r="90" ht="13.5" spans="1:6">
      <c r="A90" s="3" t="s">
        <v>706</v>
      </c>
      <c r="B90" s="4" t="s">
        <v>13</v>
      </c>
      <c r="C90" s="2" t="s">
        <v>438</v>
      </c>
      <c r="D90" s="5" t="s">
        <v>707</v>
      </c>
      <c r="E90" s="5" t="s">
        <v>708</v>
      </c>
      <c r="F90" s="5" t="s">
        <v>709</v>
      </c>
    </row>
    <row r="91" spans="1:7">
      <c r="A91" s="3" t="s">
        <v>710</v>
      </c>
      <c r="B91" s="4" t="s">
        <v>13</v>
      </c>
      <c r="C91" s="2" t="s">
        <v>20</v>
      </c>
      <c r="D91" s="5" t="s">
        <v>711</v>
      </c>
      <c r="E91" s="5" t="s">
        <v>712</v>
      </c>
      <c r="F91" s="5" t="s">
        <v>713</v>
      </c>
      <c r="G91" s="1">
        <f>D91+D92+D99</f>
        <v>18.5297</v>
      </c>
    </row>
    <row r="92" ht="13.5" spans="1:6">
      <c r="A92" s="3" t="s">
        <v>710</v>
      </c>
      <c r="B92" s="4" t="s">
        <v>13</v>
      </c>
      <c r="C92" s="2" t="s">
        <v>20</v>
      </c>
      <c r="D92" s="5" t="s">
        <v>714</v>
      </c>
      <c r="E92" s="5" t="s">
        <v>712</v>
      </c>
      <c r="F92" s="5" t="s">
        <v>715</v>
      </c>
    </row>
    <row r="93" ht="13.5" spans="1:6">
      <c r="A93" s="3" t="s">
        <v>716</v>
      </c>
      <c r="B93" s="4" t="s">
        <v>13</v>
      </c>
      <c r="C93" s="2" t="s">
        <v>20</v>
      </c>
      <c r="D93" s="5" t="s">
        <v>717</v>
      </c>
      <c r="E93" s="5" t="s">
        <v>718</v>
      </c>
      <c r="F93" s="5" t="s">
        <v>719</v>
      </c>
    </row>
    <row r="94" spans="1:7">
      <c r="A94" s="3" t="s">
        <v>720</v>
      </c>
      <c r="B94" s="4" t="s">
        <v>13</v>
      </c>
      <c r="C94" s="2" t="s">
        <v>20</v>
      </c>
      <c r="D94" s="5" t="s">
        <v>721</v>
      </c>
      <c r="E94" s="5" t="s">
        <v>722</v>
      </c>
      <c r="F94" s="5" t="s">
        <v>723</v>
      </c>
      <c r="G94" s="1">
        <f>D94+D95</f>
        <v>18.886</v>
      </c>
    </row>
    <row r="95" ht="13.5" spans="1:6">
      <c r="A95" s="3" t="s">
        <v>720</v>
      </c>
      <c r="B95" s="4" t="s">
        <v>13</v>
      </c>
      <c r="C95" s="2" t="s">
        <v>20</v>
      </c>
      <c r="D95" s="5" t="s">
        <v>724</v>
      </c>
      <c r="E95" s="5" t="s">
        <v>725</v>
      </c>
      <c r="F95" s="5" t="s">
        <v>726</v>
      </c>
    </row>
    <row r="96" ht="13.5" spans="1:6">
      <c r="A96" s="3" t="s">
        <v>727</v>
      </c>
      <c r="B96" s="4" t="s">
        <v>13</v>
      </c>
      <c r="C96" s="2" t="s">
        <v>20</v>
      </c>
      <c r="D96" s="5" t="s">
        <v>728</v>
      </c>
      <c r="E96" s="5" t="s">
        <v>729</v>
      </c>
      <c r="F96" s="5" t="s">
        <v>730</v>
      </c>
    </row>
    <row r="97" ht="13.5" spans="1:6">
      <c r="A97" s="3" t="s">
        <v>731</v>
      </c>
      <c r="B97" s="4" t="s">
        <v>13</v>
      </c>
      <c r="C97" s="2" t="s">
        <v>20</v>
      </c>
      <c r="D97" s="5" t="s">
        <v>732</v>
      </c>
      <c r="E97" s="5" t="s">
        <v>733</v>
      </c>
      <c r="F97" s="5" t="s">
        <v>734</v>
      </c>
    </row>
    <row r="98" ht="13.5" spans="1:6">
      <c r="A98" s="3" t="s">
        <v>735</v>
      </c>
      <c r="B98" s="4" t="s">
        <v>736</v>
      </c>
      <c r="C98" s="2" t="s">
        <v>20</v>
      </c>
      <c r="D98" s="5" t="s">
        <v>737</v>
      </c>
      <c r="E98" s="5" t="s">
        <v>722</v>
      </c>
      <c r="F98" s="5" t="s">
        <v>738</v>
      </c>
    </row>
    <row r="99" ht="13.5" spans="1:6">
      <c r="A99" s="3" t="s">
        <v>739</v>
      </c>
      <c r="B99" s="4" t="s">
        <v>13</v>
      </c>
      <c r="C99" s="2" t="s">
        <v>20</v>
      </c>
      <c r="D99" s="5" t="s">
        <v>740</v>
      </c>
      <c r="E99" s="5" t="s">
        <v>712</v>
      </c>
      <c r="F99" s="5" t="s">
        <v>741</v>
      </c>
    </row>
    <row r="100" ht="13.5" spans="1:6">
      <c r="A100" s="3" t="s">
        <v>742</v>
      </c>
      <c r="B100" s="4" t="s">
        <v>13</v>
      </c>
      <c r="C100" s="2" t="s">
        <v>20</v>
      </c>
      <c r="D100" s="5" t="s">
        <v>743</v>
      </c>
      <c r="E100" s="5" t="s">
        <v>729</v>
      </c>
      <c r="F100" s="5" t="s">
        <v>744</v>
      </c>
    </row>
    <row r="101" ht="13.5" spans="1:6">
      <c r="A101" s="3" t="s">
        <v>376</v>
      </c>
      <c r="B101" s="4" t="s">
        <v>745</v>
      </c>
      <c r="C101" s="2" t="s">
        <v>17</v>
      </c>
      <c r="D101" s="5" t="s">
        <v>746</v>
      </c>
      <c r="E101" s="5" t="s">
        <v>747</v>
      </c>
      <c r="F101" s="5" t="s">
        <v>748</v>
      </c>
    </row>
    <row r="102" ht="13.5" spans="1:6">
      <c r="A102" s="3" t="s">
        <v>78</v>
      </c>
      <c r="B102" s="4" t="s">
        <v>749</v>
      </c>
      <c r="C102" s="2" t="s">
        <v>622</v>
      </c>
      <c r="D102" s="5" t="s">
        <v>641</v>
      </c>
      <c r="E102" s="5" t="s">
        <v>750</v>
      </c>
      <c r="F102" s="5" t="s">
        <v>751</v>
      </c>
    </row>
    <row r="103" ht="13.5" spans="1:6">
      <c r="A103" s="3" t="s">
        <v>307</v>
      </c>
      <c r="B103" s="4" t="s">
        <v>752</v>
      </c>
      <c r="C103" s="2" t="s">
        <v>80</v>
      </c>
      <c r="D103" s="5" t="s">
        <v>641</v>
      </c>
      <c r="E103" s="5" t="s">
        <v>753</v>
      </c>
      <c r="F103" s="5" t="s">
        <v>754</v>
      </c>
    </row>
    <row r="104" ht="13.5" spans="1:6">
      <c r="A104" s="3" t="s">
        <v>307</v>
      </c>
      <c r="B104" s="4" t="s">
        <v>755</v>
      </c>
      <c r="C104" s="2" t="s">
        <v>80</v>
      </c>
      <c r="D104" s="5" t="s">
        <v>641</v>
      </c>
      <c r="E104" s="5" t="s">
        <v>756</v>
      </c>
      <c r="F104" s="5" t="s">
        <v>590</v>
      </c>
    </row>
    <row r="105" ht="13.5" spans="1:6">
      <c r="A105" s="3" t="s">
        <v>307</v>
      </c>
      <c r="B105" s="4" t="s">
        <v>757</v>
      </c>
      <c r="C105" s="2" t="s">
        <v>80</v>
      </c>
      <c r="D105" s="5" t="s">
        <v>758</v>
      </c>
      <c r="E105" s="5" t="s">
        <v>759</v>
      </c>
      <c r="F105" s="5" t="s">
        <v>760</v>
      </c>
    </row>
    <row r="106" ht="13.5" spans="1:6">
      <c r="A106" s="3" t="s">
        <v>307</v>
      </c>
      <c r="B106" s="4" t="s">
        <v>761</v>
      </c>
      <c r="C106" s="2" t="s">
        <v>80</v>
      </c>
      <c r="D106" s="5" t="s">
        <v>762</v>
      </c>
      <c r="E106" s="5" t="s">
        <v>763</v>
      </c>
      <c r="F106" s="5" t="s">
        <v>764</v>
      </c>
    </row>
    <row r="107" ht="27" spans="1:6">
      <c r="A107" s="3" t="s">
        <v>765</v>
      </c>
      <c r="B107" s="4" t="s">
        <v>766</v>
      </c>
      <c r="C107" s="2" t="s">
        <v>98</v>
      </c>
      <c r="D107" s="5" t="s">
        <v>479</v>
      </c>
      <c r="E107" s="5" t="s">
        <v>767</v>
      </c>
      <c r="F107" s="5" t="s">
        <v>767</v>
      </c>
    </row>
    <row r="108" ht="27" spans="1:6">
      <c r="A108" s="3" t="s">
        <v>768</v>
      </c>
      <c r="B108" s="4" t="s">
        <v>766</v>
      </c>
      <c r="C108" s="2" t="s">
        <v>98</v>
      </c>
      <c r="D108" s="5" t="s">
        <v>479</v>
      </c>
      <c r="E108" s="5" t="s">
        <v>767</v>
      </c>
      <c r="F108" s="5" t="s">
        <v>767</v>
      </c>
    </row>
    <row r="109" ht="27" spans="1:6">
      <c r="A109" s="3" t="s">
        <v>769</v>
      </c>
      <c r="B109" s="4" t="s">
        <v>770</v>
      </c>
      <c r="C109" s="2" t="s">
        <v>98</v>
      </c>
      <c r="D109" s="5" t="s">
        <v>553</v>
      </c>
      <c r="E109" s="5" t="s">
        <v>771</v>
      </c>
      <c r="F109" s="5" t="s">
        <v>772</v>
      </c>
    </row>
    <row r="110" ht="27" spans="1:6">
      <c r="A110" s="3" t="s">
        <v>773</v>
      </c>
      <c r="B110" s="4" t="s">
        <v>774</v>
      </c>
      <c r="C110" s="2" t="s">
        <v>98</v>
      </c>
      <c r="D110" s="5" t="s">
        <v>479</v>
      </c>
      <c r="E110" s="5" t="s">
        <v>775</v>
      </c>
      <c r="F110" s="5" t="s">
        <v>775</v>
      </c>
    </row>
    <row r="111" ht="13.5" spans="1:6">
      <c r="A111" s="3" t="s">
        <v>312</v>
      </c>
      <c r="B111" s="4" t="s">
        <v>516</v>
      </c>
      <c r="C111" s="2" t="s">
        <v>80</v>
      </c>
      <c r="D111" s="5" t="s">
        <v>762</v>
      </c>
      <c r="E111" s="5" t="s">
        <v>776</v>
      </c>
      <c r="F111" s="5" t="s">
        <v>777</v>
      </c>
    </row>
    <row r="112" ht="13.5" spans="1:6">
      <c r="A112" s="3" t="s">
        <v>312</v>
      </c>
      <c r="B112" s="4" t="s">
        <v>325</v>
      </c>
      <c r="C112" s="2" t="s">
        <v>80</v>
      </c>
      <c r="D112" s="5" t="s">
        <v>758</v>
      </c>
      <c r="E112" s="5" t="s">
        <v>634</v>
      </c>
      <c r="F112" s="5" t="s">
        <v>778</v>
      </c>
    </row>
    <row r="113" ht="13.5" spans="1:6">
      <c r="A113" s="3" t="s">
        <v>312</v>
      </c>
      <c r="B113" s="4" t="s">
        <v>482</v>
      </c>
      <c r="C113" s="2" t="s">
        <v>80</v>
      </c>
      <c r="D113" s="5" t="s">
        <v>553</v>
      </c>
      <c r="E113" s="5" t="s">
        <v>779</v>
      </c>
      <c r="F113" s="5" t="s">
        <v>780</v>
      </c>
    </row>
    <row r="114" ht="13.5" spans="1:6">
      <c r="A114" s="3" t="s">
        <v>781</v>
      </c>
      <c r="B114" s="4" t="s">
        <v>782</v>
      </c>
      <c r="C114" s="2" t="s">
        <v>622</v>
      </c>
      <c r="D114" s="5" t="s">
        <v>783</v>
      </c>
      <c r="E114" s="5" t="s">
        <v>784</v>
      </c>
      <c r="F114" s="5" t="s">
        <v>785</v>
      </c>
    </row>
    <row r="115" ht="13.5" spans="1:6">
      <c r="A115" s="3" t="s">
        <v>786</v>
      </c>
      <c r="B115" s="4" t="s">
        <v>787</v>
      </c>
      <c r="C115" s="2" t="s">
        <v>114</v>
      </c>
      <c r="D115" s="5" t="s">
        <v>788</v>
      </c>
      <c r="E115" s="5" t="s">
        <v>789</v>
      </c>
      <c r="F115" s="5" t="s">
        <v>790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报价清单</vt:lpstr>
      <vt:lpstr>材料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2024-11-04T07:50:08Z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